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R:\Сметный отдел\2. ТЕНДЕРЫ\3. Больница мкр.Коротчаево г.Н.-Уренгой\95 (В) Деф. марки\ОБЯЗАТЕЛЬНО К ЗАПОЛНЕНИЮ\"/>
    </mc:Choice>
  </mc:AlternateContent>
  <xr:revisionPtr revIDLastSave="0" documentId="13_ncr:1_{E0494394-7A92-4914-A418-B6462CD13DA7}" xr6:coauthVersionLast="47" xr6:coauthVersionMax="47" xr10:uidLastSave="{00000000-0000-0000-0000-000000000000}"/>
  <bookViews>
    <workbookView xWindow="13800" yWindow="1200" windowWidth="19350" windowHeight="18900" xr2:uid="{00000000-000D-0000-FFFF-FFFF00000000}"/>
  </bookViews>
  <sheets>
    <sheet name="Смета" sheetId="5" r:id="rId1"/>
    <sheet name="Смета подробная" sheetId="4" state="hidden" r:id="rId2"/>
  </sheets>
  <definedNames>
    <definedName name="_xlnm.Print_Area" localSheetId="0">Смета!$A$1:$G$15</definedName>
    <definedName name="_xlnm.Print_Area" localSheetId="1">'Смета подробная'!$A$1:$G$160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5" l="1"/>
  <c r="F10" i="5" s="1"/>
  <c r="F8" i="5"/>
  <c r="F11" i="5" l="1"/>
  <c r="F59" i="4"/>
  <c r="F78" i="4"/>
  <c r="F92" i="4"/>
  <c r="F112" i="4"/>
  <c r="F129" i="4"/>
  <c r="D153" i="4"/>
  <c r="D152" i="4"/>
  <c r="D151" i="4"/>
  <c r="D150" i="4"/>
  <c r="D149" i="4"/>
  <c r="F149" i="4" s="1"/>
  <c r="D147" i="4"/>
  <c r="D148" i="4" s="1"/>
  <c r="D145" i="4"/>
  <c r="D144" i="4"/>
  <c r="D143" i="4"/>
  <c r="D142" i="4"/>
  <c r="D141" i="4"/>
  <c r="D140" i="4"/>
  <c r="D139" i="4"/>
  <c r="D137" i="4"/>
  <c r="D138" i="4" s="1"/>
  <c r="D135" i="4"/>
  <c r="D136" i="4" s="1"/>
  <c r="D130" i="4"/>
  <c r="D131" i="4" s="1"/>
  <c r="D127" i="4"/>
  <c r="D128" i="4" s="1"/>
  <c r="D126" i="4"/>
  <c r="D125" i="4"/>
  <c r="D124" i="4"/>
  <c r="D123" i="4"/>
  <c r="D122" i="4"/>
  <c r="D120" i="4"/>
  <c r="D121" i="4" s="1"/>
  <c r="D118" i="4"/>
  <c r="D119" i="4" s="1"/>
  <c r="D113" i="4"/>
  <c r="D114" i="4" s="1"/>
  <c r="D110" i="4"/>
  <c r="D111" i="4" s="1"/>
  <c r="D109" i="4"/>
  <c r="D108" i="4"/>
  <c r="D107" i="4"/>
  <c r="D106" i="4"/>
  <c r="D105" i="4"/>
  <c r="D104" i="4"/>
  <c r="D103" i="4"/>
  <c r="D102" i="4"/>
  <c r="D100" i="4"/>
  <c r="D101" i="4" s="1"/>
  <c r="D98" i="4"/>
  <c r="D99" i="4" s="1"/>
  <c r="D97" i="4"/>
  <c r="D95" i="4"/>
  <c r="D96" i="4" s="1"/>
  <c r="D93" i="4"/>
  <c r="D94" i="4" s="1"/>
  <c r="D90" i="4"/>
  <c r="D91" i="4" s="1"/>
  <c r="D89" i="4"/>
  <c r="D88" i="4"/>
  <c r="D86" i="4"/>
  <c r="D87" i="4" s="1"/>
  <c r="D84" i="4"/>
  <c r="D85" i="4" s="1"/>
  <c r="D83" i="4"/>
  <c r="D81" i="4"/>
  <c r="D82" i="4" s="1"/>
  <c r="D79" i="4"/>
  <c r="D80" i="4" s="1"/>
  <c r="D76" i="4"/>
  <c r="D77" i="4" s="1"/>
  <c r="D75" i="4"/>
  <c r="D74" i="4"/>
  <c r="D73" i="4"/>
  <c r="D72" i="4"/>
  <c r="D71" i="4"/>
  <c r="D70" i="4"/>
  <c r="D69" i="4"/>
  <c r="D67" i="4"/>
  <c r="D68" i="4" s="1"/>
  <c r="D65" i="4"/>
  <c r="D66" i="4" s="1"/>
  <c r="D64" i="4"/>
  <c r="D60" i="4"/>
  <c r="D61" i="4" s="1"/>
  <c r="D54" i="4"/>
  <c r="D53" i="4"/>
  <c r="D52" i="4"/>
  <c r="D51" i="4" s="1"/>
  <c r="D50" i="4"/>
  <c r="D49" i="4" s="1"/>
  <c r="D43" i="4"/>
  <c r="D42" i="4" s="1"/>
  <c r="D41" i="4"/>
  <c r="D40" i="4"/>
  <c r="D39" i="4"/>
  <c r="D38" i="4"/>
  <c r="D30" i="4"/>
  <c r="D29" i="4"/>
  <c r="D28" i="4"/>
  <c r="D27" i="4"/>
  <c r="D26" i="4"/>
  <c r="D25" i="4"/>
  <c r="D24" i="4"/>
  <c r="D23" i="4"/>
  <c r="D22" i="4" s="1"/>
  <c r="D20" i="4"/>
  <c r="D47" i="4" s="1"/>
  <c r="D46" i="4" s="1"/>
  <c r="D19" i="4"/>
  <c r="D32" i="4" s="1"/>
  <c r="D31" i="4" s="1"/>
  <c r="D18" i="4"/>
  <c r="D17" i="4"/>
  <c r="D16" i="4"/>
  <c r="D62" i="4" s="1"/>
  <c r="D63" i="4" s="1"/>
  <c r="D14" i="4"/>
  <c r="D13" i="4"/>
  <c r="D12" i="4"/>
  <c r="D11" i="4"/>
  <c r="D10" i="4"/>
  <c r="D9" i="4"/>
  <c r="F9" i="4" s="1"/>
  <c r="D132" i="4" l="1"/>
  <c r="D133" i="4" s="1"/>
  <c r="D56" i="4"/>
  <c r="D55" i="4" s="1"/>
  <c r="D117" i="4"/>
  <c r="D33" i="4"/>
  <c r="D134" i="4"/>
  <c r="D58" i="4"/>
  <c r="D57" i="4" s="1"/>
  <c r="D35" i="4"/>
  <c r="D34" i="4" s="1"/>
  <c r="D21" i="4" s="1"/>
  <c r="F21" i="4" s="1"/>
  <c r="D36" i="4"/>
  <c r="D115" i="4"/>
  <c r="D116" i="4" s="1"/>
  <c r="D15" i="4"/>
  <c r="F15" i="4" s="1"/>
  <c r="D45" i="4"/>
  <c r="D44" i="4" s="1"/>
  <c r="D37" i="4" s="1"/>
  <c r="F37" i="4" s="1"/>
  <c r="D48" i="4"/>
  <c r="F48" i="4" s="1"/>
  <c r="F154" i="4" l="1"/>
  <c r="F155" i="4" s="1"/>
  <c r="F156" i="4" s="1"/>
</calcChain>
</file>

<file path=xl/sharedStrings.xml><?xml version="1.0" encoding="utf-8"?>
<sst xmlns="http://schemas.openxmlformats.org/spreadsheetml/2006/main" count="550" uniqueCount="271">
  <si>
    <t>Приложение № ___
к Договору субподряда 
№ ___________ от ____.____.202__ г.</t>
  </si>
  <si>
    <t>Смета №1</t>
  </si>
  <si>
    <t>№ п/п</t>
  </si>
  <si>
    <t>Наименование работ и техническая характеристика</t>
  </si>
  <si>
    <t>Ед. изм.</t>
  </si>
  <si>
    <t>Объем работ</t>
  </si>
  <si>
    <r>
      <t>Цена за единицу, руб.</t>
    </r>
    <r>
      <rPr>
        <b/>
        <sz val="11"/>
        <color theme="1"/>
        <rFont val="Times New Roman"/>
        <family val="1"/>
        <charset val="204"/>
      </rPr>
      <t xml:space="preserve"> без НДС</t>
    </r>
  </si>
  <si>
    <r>
      <t xml:space="preserve">Стоимость, руб.,
</t>
    </r>
    <r>
      <rPr>
        <b/>
        <sz val="11"/>
        <color theme="1"/>
        <rFont val="Times New Roman"/>
        <family val="1"/>
        <charset val="204"/>
      </rPr>
      <t>без НДС</t>
    </r>
  </si>
  <si>
    <t>Примечание</t>
  </si>
  <si>
    <t>8</t>
  </si>
  <si>
    <t>2</t>
  </si>
  <si>
    <t>4</t>
  </si>
  <si>
    <t>6</t>
  </si>
  <si>
    <t>Стоимость, без учета НДС</t>
  </si>
  <si>
    <t xml:space="preserve"> НДС (5%, 7%, 20%)</t>
  </si>
  <si>
    <t>Итого с учетом НДС (5%, 7%, 20%)</t>
  </si>
  <si>
    <t>Итого с учетом НДС 20%</t>
  </si>
  <si>
    <t>Субподрядчик: 
ООО «___________»
Генеральный директор 
_______________/______________./
м.п.</t>
  </si>
  <si>
    <t>Подрядчик:
ООО «ССК»
Генеральный директор
__________________ /Анисимов Е.Г./ 
м.п.</t>
  </si>
  <si>
    <t>1</t>
  </si>
  <si>
    <t>3</t>
  </si>
  <si>
    <t>5</t>
  </si>
  <si>
    <t>7</t>
  </si>
  <si>
    <t>9</t>
  </si>
  <si>
    <t>Объект: Взрослая поликлиника на 750 посещений для южной части г. Новый Уренгой</t>
  </si>
  <si>
    <t>10</t>
  </si>
  <si>
    <t>11</t>
  </si>
  <si>
    <t>12</t>
  </si>
  <si>
    <t>13</t>
  </si>
  <si>
    <t>14</t>
  </si>
  <si>
    <t>Вид работ: Сети теплоснабжения. Устройство канала</t>
  </si>
  <si>
    <t>Разработка траншеи канала механизированным способом (с доработкой до проектных отметок вручную)</t>
  </si>
  <si>
    <t>Уплотнение (с трамбованием) грунта в траншеи под основание канала (Купл.=0.95)</t>
  </si>
  <si>
    <t>Устройство основания из экструзионного пенополистирола ПЕНОПЛЕКС ФУНДАМЕНТ s=200 мм., под основание канала</t>
  </si>
  <si>
    <t>Обратная засыпка траншеи канала механизированным способом, послойно  (с трамбованием) , с толщиной слоя до 30 см (Купл.=0.95)</t>
  </si>
  <si>
    <t>м³</t>
  </si>
  <si>
    <t>м²</t>
  </si>
  <si>
    <t>шт</t>
  </si>
  <si>
    <t>15</t>
  </si>
  <si>
    <t>Сети теплоснабжения. Устройство канала</t>
  </si>
  <si>
    <t>Разработка траншеи механизированным способом (с доработкой до проектных отметок вручную). Блок 2</t>
  </si>
  <si>
    <r>
      <t>м</t>
    </r>
    <r>
      <rPr>
        <b/>
        <sz val="11"/>
        <rFont val="Calibri"/>
        <family val="2"/>
        <charset val="204"/>
      </rPr>
      <t>³</t>
    </r>
  </si>
  <si>
    <t>Разработка траншеи механизированным способом (с доработкой до проектных отметок вручную). ЖБ конструкция УМ2</t>
  </si>
  <si>
    <t>Разработка траншеи механизированным способом (с доработкой до проектных отметок вручную). Блока 3</t>
  </si>
  <si>
    <t>Разработка траншеи механизированным способом (с доработкой до проектных отметок вручную). ЖБ конструкция УМ3</t>
  </si>
  <si>
    <t>Разработка траншеи механизированным способом (с доработкой до проектных отметок вручную). Блок 4</t>
  </si>
  <si>
    <t>Уплотнение грунта основания. Блок 2</t>
  </si>
  <si>
    <r>
      <t>м</t>
    </r>
    <r>
      <rPr>
        <b/>
        <sz val="11"/>
        <rFont val="Calibri"/>
        <family val="2"/>
        <charset val="204"/>
      </rPr>
      <t>²</t>
    </r>
  </si>
  <si>
    <t>Уплотнение грунта основания. ЖБ конструкция УМ2</t>
  </si>
  <si>
    <t>Уплотнение грунта основания. Блока 3</t>
  </si>
  <si>
    <t>Уплотнение грунта основания. ЖБ конструкция УМ3</t>
  </si>
  <si>
    <t>Уплотнение грунта основания. Блок 4</t>
  </si>
  <si>
    <t>Устройство основания из щебня s=100 мм., пролитого битумом, под основание канала</t>
  </si>
  <si>
    <t>Устройство основания из щебня, пролитого битумом. Блок 2</t>
  </si>
  <si>
    <t>Щебень (фракции 40-70)</t>
  </si>
  <si>
    <t>МТР поставки Заказчика</t>
  </si>
  <si>
    <t>Битум, для проливки щебеночного основания (Битум БН 70/30)</t>
  </si>
  <si>
    <t>МТР поставки Подрядчика</t>
  </si>
  <si>
    <t>кг</t>
  </si>
  <si>
    <t>Устройство основания из щебня, пролитого битумом. ЖБ конструкция УМ2</t>
  </si>
  <si>
    <t>Устройство основания из щебня, пролитого битумом. Блок 3</t>
  </si>
  <si>
    <t>Устройство основания из щебня, пролитого битумом. ЖБ конструкция УМ3</t>
  </si>
  <si>
    <t>Устройство основания из щебня, пролитого битумом. Блок 4</t>
  </si>
  <si>
    <t>Устройство основания из песка средней крупности s=150 мм., (Купл.=0.98), под основание канала</t>
  </si>
  <si>
    <t>Устройство основания из песка средней крупности. Блок 2</t>
  </si>
  <si>
    <t>Песок ГОСТ 8736-2014</t>
  </si>
  <si>
    <t>Устройство основания из песка средней крупности. ЖБ конструкция УМ2</t>
  </si>
  <si>
    <t>Устройство основания из песка средней крупности. Блока 3</t>
  </si>
  <si>
    <t>Устройство основания из песка средней крупности. ЖБ конструкция УМ3</t>
  </si>
  <si>
    <t>Устройство основания из песка средней крупности. Блок 4</t>
  </si>
  <si>
    <t>Устройство основания из экструзионного пенополистирола. Блок 2</t>
  </si>
  <si>
    <t>Экструзионный пенополистирол ПЕНОПЛЕКС ФУНДАМЕНТ (s=200 мм.)</t>
  </si>
  <si>
    <t>Устройство основания из экструзионного пенополистирола. ЖБ конструкция УМ2</t>
  </si>
  <si>
    <t>Устройство основания из экструзионного пенополистирола. Блока 3</t>
  </si>
  <si>
    <t>Устройство основания из экструзионного пенополистирола. ЖБ конструкция УМ3</t>
  </si>
  <si>
    <t>Устройство основания из экструзионного пенополистирола. Блок 4</t>
  </si>
  <si>
    <t>Устройство железо-бетонных конструкций (в том числе: подготовка основания, гидроизоляция, монтаж ж/б конструкции, монтаж утеплителя). Блок 2</t>
  </si>
  <si>
    <t>комплекс</t>
  </si>
  <si>
    <t>Устройство бетонной подготовки В7.5. Блок 2</t>
  </si>
  <si>
    <t>Бетон В7.5 ГОСТ 26633-2015</t>
  </si>
  <si>
    <t>Устройство гидроизоляции в 2 слоя, Блок 2</t>
  </si>
  <si>
    <t>Праймер битумный "Технониколь" №1</t>
  </si>
  <si>
    <t>л</t>
  </si>
  <si>
    <t>Гидроизоляционная мембрана Техноэласт ЭПП (2 слоя)</t>
  </si>
  <si>
    <t>Устройство цементно-песчаной стяжки М100 s=30 мм., Блок 2</t>
  </si>
  <si>
    <t>Цементно-песчаная смесь марки М100</t>
  </si>
  <si>
    <t>Устройство железо-бетонных конструкций, из Бетона марки В25 s=300 мм., Блок 2</t>
  </si>
  <si>
    <t>Бетон В25 ГОСТ 26633-2015</t>
  </si>
  <si>
    <t>Арматура Ø 16 А500 Lобщ.(мп) ГОСТ 34028-2016</t>
  </si>
  <si>
    <t>тн</t>
  </si>
  <si>
    <t>Арматура Ø 12 А500 Lобщ.(мп) ГОСТ 34028-2016</t>
  </si>
  <si>
    <t>Арматура Ø 12 А500 L = 1595 ГОСТ 34028-2016</t>
  </si>
  <si>
    <t>Арматура Ø 16 А500 L = 1590 ГОСТ 34028-2016</t>
  </si>
  <si>
    <t>Арматура Ø 12 А500 L = 1240 ГОСТ 34028-2016</t>
  </si>
  <si>
    <t>Монтаж плит железобетонных, Блок 2</t>
  </si>
  <si>
    <t>Плита покрытия П23д-3а Серия 3.006.1-2.87.2-23</t>
  </si>
  <si>
    <t>Устройство утепления из экструзионного пенополистирола, Блок 2</t>
  </si>
  <si>
    <t>Устройство железо-бетонных конструкций (в том числе: подготовка основания, гидроизоляция, монтаж утеплителя). ЖБ конструкция УМ2</t>
  </si>
  <si>
    <t>Устройство бетонной подготовки В7.5. ЖБ конструкция  УМ2</t>
  </si>
  <si>
    <t>Устройство гидроизоляции в 2 слоя, ЖБ конструкция  УМ2</t>
  </si>
  <si>
    <t>Устройство цементно-песчаной стяжки М100 s=30 мм., ЖБ конструкция  УМ2</t>
  </si>
  <si>
    <t>Устройство железо-бетонных конструкций, из Бетона марки В25 s=300 мм., ЖБ конструкция  УМ2</t>
  </si>
  <si>
    <t>Арматура Ø 12 А500 L = 1285 ГОСТ 34028-2016</t>
  </si>
  <si>
    <t>Устройство утепления из экструзионного пенополистирола, ЖБ конструкция  УМ2</t>
  </si>
  <si>
    <t>Устройство железо-бетонных конструкций (в том числе: подготовка основания, гидроизоляция, монтаж ж/б конструкции, монтаж утеплителя). Блок 3</t>
  </si>
  <si>
    <t>Устройство бетонной подготовки В7.5. Блок 3</t>
  </si>
  <si>
    <t>Устройство гидроизоляции в 2 слоя, Блок 3</t>
  </si>
  <si>
    <t>Устройство цементно-песчаной стяжки М100 s=30 мм., Блок 3</t>
  </si>
  <si>
    <t>Устройство железо-бетонных конструкций, из Бетона марки В25 s=300 мм., Блок 3</t>
  </si>
  <si>
    <t>Арматура Ø 16 А500 L = 1580 ГОСТ 34028-2016</t>
  </si>
  <si>
    <t>Монтаж плит железобетонных, Блок 3</t>
  </si>
  <si>
    <t>Устройство утепления из экструзионного пенополистирола, Блок 3</t>
  </si>
  <si>
    <t>Устройство железо-бетонных конструкций (в том числе: подготовка основания, гидроизоляция, монтаж утеплителя). ЖБ конструкция УМ3</t>
  </si>
  <si>
    <t>Устройство бетонной подготовки В7.5. ЖБ конструкция УМ3</t>
  </si>
  <si>
    <t>Устройство гидроизоляции в 2 слоя, ЖБ конструкция УМ3</t>
  </si>
  <si>
    <t>Устройство цементно-песчаной стяжки М100 s=30 мм., ЖБ конструкция УМ3</t>
  </si>
  <si>
    <t>Устройство железо-бетонных конструкций, из Бетона марки В25 s=300 мм., ЖБ конструкция УМ3</t>
  </si>
  <si>
    <t>Арматура Ø 18 А500 Lобщ.(мп) ГОСТ 34028-2016</t>
  </si>
  <si>
    <t>Арматура Ø 12 А500 L = 820 ГОСТ 34028-2016</t>
  </si>
  <si>
    <t>Арматура Ø 12 А500 L = 1245 ГОСТ 34028-2016</t>
  </si>
  <si>
    <t>Арматура Ø 22 А240 L = 1100 ГОСТ 34028-2016</t>
  </si>
  <si>
    <t>Устройство утепления из экструзионного пенополистирола, ЖБ конструкция УМ3</t>
  </si>
  <si>
    <t>Устройство железо-бетонных конструкций (в том числе: подготовка основания, гидроизоляция, монтаж ж/б конструкции, монтаж утеплителя). Блок 4</t>
  </si>
  <si>
    <t>Устройство бетонной подготовки В7.5. Блок 4</t>
  </si>
  <si>
    <t>Устройство гидроизоляции в 2 слоя, Блок 4</t>
  </si>
  <si>
    <t>Устройство цементно-песчаной стяжки М100 s=30 мм., Блок 4</t>
  </si>
  <si>
    <t>Устройство железо-бетонных конструкций, из Бетона марки В25 s=300 мм., Блок 4</t>
  </si>
  <si>
    <t>Арматура Ø 12 А500 L = 1265 ГОСТ 34028-2016</t>
  </si>
  <si>
    <t>Монтаж плит железобетонных, Блок 4</t>
  </si>
  <si>
    <t>Устройство утепления из экструзионного пенополистирола, Блок 4</t>
  </si>
  <si>
    <t>Обратная засыпка траншеи механизированным способом. Блок 2  (+УМ2)</t>
  </si>
  <si>
    <t>Обратная засыпка траншеи механизированным способом. Блок 3</t>
  </si>
  <si>
    <t>Обратная засыпка траншеи механизированным способом. ЖБ конструкция УМ3</t>
  </si>
  <si>
    <t>Обратная засыпка траншеи механизированным способом. Блок 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</si>
  <si>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</si>
  <si>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</si>
  <si>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</si>
  <si>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</si>
  <si>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</si>
  <si>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</si>
  <si>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</si>
  <si>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</si>
  <si>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</si>
  <si>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</si>
  <si>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</si>
  <si>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</si>
  <si>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</si>
  <si>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</si>
  <si>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</si>
  <si>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</si>
  <si>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</si>
  <si>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</si>
  <si>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</si>
  <si>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</si>
  <si>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</si>
  <si>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</si>
  <si>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</si>
  <si>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</si>
  <si>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</si>
  <si>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</si>
  <si>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</si>
  <si>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</si>
  <si>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</si>
  <si>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</si>
  <si>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</si>
  <si>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</si>
  <si>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</si>
  <si>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</si>
  <si>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</si>
  <si>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</si>
  <si>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</si>
  <si>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</si>
  <si>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</si>
  <si>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</si>
  <si>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</si>
  <si>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</si>
  <si>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</si>
  <si>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</si>
  <si>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</si>
  <si>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</si>
  <si>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</si>
  <si>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</si>
  <si>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</si>
  <si>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</si>
  <si>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</si>
  <si>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</si>
  <si>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</si>
  <si>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</si>
  <si>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</si>
  <si>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</si>
  <si>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</si>
  <si>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</si>
  <si>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</si>
  <si>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</si>
  <si>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</si>
  <si>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</si>
  <si>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</si>
  <si>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</si>
  <si>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</si>
  <si>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</si>
  <si>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</si>
  <si>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</si>
  <si>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</si>
  <si>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</si>
  <si>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</si>
  <si>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</si>
  <si>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</si>
  <si>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</si>
  <si>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</si>
  <si>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</si>
  <si>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</si>
  <si>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</si>
  <si>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</si>
  <si>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</si>
  <si>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</si>
  <si>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</si>
  <si>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</si>
  <si>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</si>
  <si>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</si>
  <si>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</si>
  <si>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</si>
  <si>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</si>
  <si>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</si>
  <si>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</si>
  <si>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</si>
  <si>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</si>
  <si>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</si>
  <si>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</si>
  <si>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</si>
  <si>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</si>
  <si>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</si>
  <si>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</si>
  <si>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</si>
  <si>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</si>
  <si>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</si>
  <si>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</si>
  <si>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</si>
  <si>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</si>
  <si>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</si>
  <si>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</si>
  <si>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</si>
  <si>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</si>
  <si>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</si>
  <si>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</si>
  <si>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</si>
  <si>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</si>
  <si>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</si>
  <si>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</si>
  <si>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</si>
  <si>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</si>
  <si>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</si>
  <si>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</si>
  <si>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</si>
  <si>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</si>
  <si>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</si>
  <si>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</si>
  <si>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</si>
  <si>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</si>
  <si>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</si>
  <si>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</si>
  <si>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</si>
  <si>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</si>
  <si>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</si>
  <si>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</si>
  <si>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</si>
  <si>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Стоимость, НДС не облагается</t>
  </si>
  <si>
    <t>Вид работ: Монтаж геодезических марок</t>
  </si>
  <si>
    <t>*Материалы для изготовления, ручной инструмент и расходные материалы для ручного инструмента за субподрядной организацией</t>
  </si>
  <si>
    <t>НДС (5%,7%,20%)</t>
  </si>
  <si>
    <t>Стоимость с учетом НДС (5%,7%,20%)</t>
  </si>
  <si>
    <t>Изготовление и монтаж деформационных марок в проектное положение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</si>
</sst>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0.000"/>
    <numFmt numFmtId="170" formatCode="#,##0.0"/>
    <numFmt numFmtId="171" formatCode="_(* #,##0_);_(* \(#,##0\);_(* &quot;-&quot;??_);_(@_)"/>
    <numFmt numFmtId="172" formatCode="#,##0.00_ ;\-#,##0.00\ "/>
    <numFmt numFmtId="173" formatCode="_-* #,##0.00\ &quot;р.&quot;_-;\-* #,##0.00\ &quot;р.&quot;_-;_-* &quot;-&quot;??\ &quot;р.&quot;_-;_-@_-"/>
    <numFmt numFmtId="174" formatCode="_-* #,##0_р_-;\-* #,##0_р_-;_-* &quot;-&quot;_р_-;_-@_-"/>
    <numFmt numFmtId="175" formatCode="_-* #,##0.00_р_-;\-* #,##0.00_р_-;_-* &quot;-&quot;??_р_-;_-@_-"/>
    <numFmt numFmtId="176" formatCode="_-* #,##0\ _р_._-;\-* #,##0\ _р_._-;_-* &quot;-&quot;\ _р_._-;_-@_-"/>
    <numFmt numFmtId="177" formatCode="_-&quot;Ј&quot;* #,##0.00_-;\-&quot;Ј&quot;* #,##0.00_-;_-&quot;Ј&quot;* &quot;-&quot;??_-;_-@_-"/>
    <numFmt numFmtId="178" formatCode="&quot;Ј&quot;\ #,##0"/>
    <numFmt numFmtId="179" formatCode="\ #,##0.00&quot;р. &quot;;\-#,##0.00&quot;р. &quot;;&quot; -&quot;#&quot;р. &quot;;@\ "/>
  </numFmts>
  <fonts count="5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b/>
      <sz val="11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8">
    <xf numFmtId="0" fontId="0" fillId="0" borderId="0"/>
    <xf numFmtId="0" fontId="2" fillId="0" borderId="0"/>
    <xf numFmtId="43" fontId="8" fillId="0" borderId="0" applyFont="0" applyFill="0" applyBorder="0" applyProtection="0"/>
    <xf numFmtId="0" fontId="13" fillId="0" borderId="0"/>
    <xf numFmtId="0" fontId="18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1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176" fontId="37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37" fillId="0" borderId="0" applyFont="0" applyFill="0" applyBorder="0" applyAlignment="0" applyProtection="0"/>
    <xf numFmtId="177" fontId="18" fillId="0" borderId="0" applyFont="0" applyFill="0" applyBorder="0" applyAlignment="0" applyProtection="0"/>
    <xf numFmtId="0" fontId="20" fillId="0" borderId="0"/>
    <xf numFmtId="38" fontId="47" fillId="20" borderId="0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78" fontId="19" fillId="0" borderId="0"/>
    <xf numFmtId="0" fontId="51" fillId="0" borderId="0"/>
    <xf numFmtId="0" fontId="48" fillId="0" borderId="0"/>
    <xf numFmtId="0" fontId="42" fillId="0" borderId="0"/>
    <xf numFmtId="10" fontId="18" fillId="0" borderId="0" applyFont="0" applyFill="0" applyBorder="0" applyAlignment="0" applyProtection="0"/>
    <xf numFmtId="49" fontId="49" fillId="0" borderId="4" applyFill="0" applyBorder="0" applyProtection="0">
      <alignment horizontal="left" wrapText="1"/>
    </xf>
    <xf numFmtId="0" fontId="16" fillId="0" borderId="2">
      <alignment horizontal="center"/>
    </xf>
    <xf numFmtId="0" fontId="16" fillId="0" borderId="2">
      <alignment horizontal="center"/>
    </xf>
    <xf numFmtId="0" fontId="19" fillId="0" borderId="0">
      <alignment vertical="top"/>
    </xf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16" fillId="0" borderId="2">
      <alignment horizontal="center"/>
    </xf>
    <xf numFmtId="0" fontId="16" fillId="0" borderId="2">
      <alignment horizontal="center"/>
    </xf>
    <xf numFmtId="0" fontId="16" fillId="0" borderId="0">
      <alignment vertical="top"/>
    </xf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166" fontId="19" fillId="0" borderId="0" applyFont="0" applyFill="0" applyBorder="0" applyAlignment="0" applyProtection="0"/>
    <xf numFmtId="169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79" fontId="50" fillId="0" borderId="0" applyFill="0" applyBorder="0" applyAlignment="0" applyProtection="0"/>
    <xf numFmtId="173" fontId="46" fillId="0" borderId="0" applyFont="0" applyFill="0" applyBorder="0" applyAlignment="0" applyProtection="0"/>
    <xf numFmtId="0" fontId="43" fillId="0" borderId="9" applyNumberFormat="0" applyFill="0" applyProtection="0">
      <alignment horizontal="center"/>
    </xf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9" fillId="0" borderId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16" fillId="0" borderId="0">
      <alignment horizontal="right" vertical="top" wrapText="1"/>
    </xf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16" fillId="0" borderId="2">
      <alignment horizontal="center" wrapText="1"/>
    </xf>
    <xf numFmtId="0" fontId="16" fillId="0" borderId="2">
      <alignment horizontal="center" wrapText="1"/>
    </xf>
    <xf numFmtId="0" fontId="19" fillId="0" borderId="0">
      <alignment vertical="top"/>
    </xf>
    <xf numFmtId="0" fontId="19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19" fillId="0" borderId="0"/>
    <xf numFmtId="0" fontId="1" fillId="0" borderId="0"/>
    <xf numFmtId="0" fontId="18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5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1" fillId="0" borderId="0"/>
    <xf numFmtId="0" fontId="19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8" fillId="0" borderId="0"/>
    <xf numFmtId="0" fontId="52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9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8" fillId="0" borderId="0"/>
    <xf numFmtId="0" fontId="1" fillId="0" borderId="0"/>
    <xf numFmtId="0" fontId="51" fillId="0" borderId="0"/>
    <xf numFmtId="0" fontId="40" fillId="0" borderId="0"/>
    <xf numFmtId="0" fontId="19" fillId="0" borderId="0"/>
    <xf numFmtId="0" fontId="40" fillId="0" borderId="0"/>
    <xf numFmtId="0" fontId="18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" fillId="0" borderId="0"/>
    <xf numFmtId="0" fontId="16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52" fillId="0" borderId="0"/>
    <xf numFmtId="0" fontId="18" fillId="0" borderId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9" fillId="0" borderId="0"/>
    <xf numFmtId="0" fontId="54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51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20" fillId="0" borderId="0"/>
    <xf numFmtId="0" fontId="18" fillId="0" borderId="0"/>
    <xf numFmtId="0" fontId="5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9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9" fillId="0" borderId="0"/>
    <xf numFmtId="0" fontId="18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1" fillId="0" borderId="0"/>
    <xf numFmtId="0" fontId="1" fillId="0" borderId="0"/>
    <xf numFmtId="0" fontId="1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2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2">
      <alignment horizontal="center" wrapText="1"/>
    </xf>
    <xf numFmtId="0" fontId="16" fillId="0" borderId="2">
      <alignment horizontal="center" wrapText="1"/>
    </xf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19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2">
      <alignment horizontal="center"/>
    </xf>
    <xf numFmtId="0" fontId="16" fillId="0" borderId="2">
      <alignment horizontal="center"/>
    </xf>
    <xf numFmtId="0" fontId="19" fillId="0" borderId="0"/>
    <xf numFmtId="0" fontId="16" fillId="0" borderId="2">
      <alignment horizontal="center" wrapText="1"/>
    </xf>
    <xf numFmtId="0" fontId="16" fillId="0" borderId="2">
      <alignment horizontal="center" wrapText="1"/>
    </xf>
    <xf numFmtId="0" fontId="19" fillId="0" borderId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41" fillId="0" borderId="0"/>
    <xf numFmtId="0" fontId="42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6" fillId="0" borderId="0">
      <alignment horizontal="center"/>
    </xf>
    <xf numFmtId="174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4" fontId="45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45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72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6" fillId="0" borderId="0">
      <alignment horizontal="left" vertical="top"/>
    </xf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9" fillId="0" borderId="2">
      <alignment vertical="top" wrapText="1"/>
    </xf>
    <xf numFmtId="0" fontId="19" fillId="0" borderId="2">
      <alignment vertical="top" wrapText="1"/>
    </xf>
    <xf numFmtId="0" fontId="16" fillId="0" borderId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9" fillId="0" borderId="17">
      <alignment vertical="top" wrapText="1"/>
    </xf>
    <xf numFmtId="0" fontId="19" fillId="0" borderId="17">
      <alignment vertical="top" wrapText="1"/>
    </xf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49" fontId="11" fillId="0" borderId="2" xfId="0" applyNumberFormat="1" applyFont="1" applyBorder="1" applyAlignment="1">
      <alignment horizontal="center" vertical="center" wrapText="1"/>
    </xf>
    <xf numFmtId="4" fontId="10" fillId="0" borderId="2" xfId="2" applyNumberFormat="1" applyFont="1" applyBorder="1" applyAlignment="1">
      <alignment horizontal="center" vertical="center"/>
    </xf>
    <xf numFmtId="0" fontId="10" fillId="0" borderId="0" xfId="0" applyFont="1"/>
    <xf numFmtId="0" fontId="3" fillId="0" borderId="0" xfId="0" applyFont="1" applyAlignment="1">
      <alignment horizontal="center"/>
    </xf>
    <xf numFmtId="4" fontId="11" fillId="0" borderId="2" xfId="0" applyNumberFormat="1" applyFont="1" applyBorder="1" applyAlignment="1">
      <alignment horizontal="center" vertical="center" wrapText="1"/>
    </xf>
    <xf numFmtId="49" fontId="15" fillId="3" borderId="2" xfId="3" quotePrefix="1" applyNumberFormat="1" applyFont="1" applyFill="1" applyBorder="1" applyAlignment="1" applyProtection="1">
      <alignment horizontal="left" vertical="center" wrapText="1"/>
      <protection locked="0"/>
    </xf>
    <xf numFmtId="49" fontId="15" fillId="4" borderId="2" xfId="3" quotePrefix="1" applyNumberFormat="1" applyFont="1" applyFill="1" applyBorder="1" applyAlignment="1" applyProtection="1">
      <alignment horizontal="left" vertical="center" wrapText="1"/>
      <protection locked="0"/>
    </xf>
    <xf numFmtId="49" fontId="16" fillId="0" borderId="2" xfId="3" quotePrefix="1" applyNumberFormat="1" applyFont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center" vertical="center"/>
    </xf>
    <xf numFmtId="1" fontId="14" fillId="3" borderId="2" xfId="3" quotePrefix="1" applyNumberFormat="1" applyFont="1" applyFill="1" applyBorder="1" applyAlignment="1" applyProtection="1">
      <alignment horizontal="center" vertical="center" wrapText="1"/>
      <protection locked="0"/>
    </xf>
    <xf numFmtId="4" fontId="15" fillId="3" borderId="2" xfId="0" applyNumberFormat="1" applyFont="1" applyFill="1" applyBorder="1" applyAlignment="1">
      <alignment horizontal="center" vertical="center" wrapText="1"/>
    </xf>
    <xf numFmtId="1" fontId="14" fillId="4" borderId="2" xfId="3" quotePrefix="1" applyNumberFormat="1" applyFont="1" applyFill="1" applyBorder="1" applyAlignment="1" applyProtection="1">
      <alignment horizontal="center" vertical="center" wrapText="1"/>
      <protection locked="0"/>
    </xf>
    <xf numFmtId="4" fontId="15" fillId="4" borderId="2" xfId="0" applyNumberFormat="1" applyFont="1" applyFill="1" applyBorder="1" applyAlignment="1">
      <alignment horizontal="center" vertical="center" wrapText="1"/>
    </xf>
    <xf numFmtId="1" fontId="12" fillId="5" borderId="2" xfId="3" quotePrefix="1" applyNumberFormat="1" applyFont="1" applyFill="1" applyBorder="1" applyAlignment="1" applyProtection="1">
      <alignment horizontal="center" vertical="center" wrapText="1"/>
      <protection locked="0"/>
    </xf>
    <xf numFmtId="4" fontId="16" fillId="5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10" fillId="3" borderId="2" xfId="2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7" fillId="0" borderId="4" xfId="0" applyFont="1" applyBorder="1"/>
    <xf numFmtId="0" fontId="3" fillId="0" borderId="5" xfId="0" applyFont="1" applyBorder="1"/>
    <xf numFmtId="0" fontId="3" fillId="0" borderId="0" xfId="0" applyFont="1" applyBorder="1"/>
    <xf numFmtId="1" fontId="15" fillId="2" borderId="0" xfId="3" quotePrefix="1" applyNumberFormat="1" applyFont="1" applyFill="1" applyBorder="1" applyAlignment="1" applyProtection="1">
      <alignment horizontal="center" vertical="center" wrapText="1"/>
      <protection locked="0"/>
    </xf>
    <xf numFmtId="1" fontId="15" fillId="3" borderId="0" xfId="3" quotePrefix="1" applyNumberFormat="1" applyFont="1" applyFill="1" applyBorder="1" applyAlignment="1" applyProtection="1">
      <alignment horizontal="center" vertical="center" wrapText="1"/>
      <protection locked="0"/>
    </xf>
    <xf numFmtId="1" fontId="15" fillId="4" borderId="0" xfId="3" quotePrefix="1" applyNumberFormat="1" applyFont="1" applyFill="1" applyBorder="1" applyAlignment="1" applyProtection="1">
      <alignment horizontal="center" vertical="center" wrapText="1"/>
      <protection locked="0"/>
    </xf>
    <xf numFmtId="1" fontId="16" fillId="5" borderId="0" xfId="3" quotePrefix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vertical="top" wrapText="1"/>
    </xf>
    <xf numFmtId="0" fontId="56" fillId="0" borderId="17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4" fontId="10" fillId="0" borderId="2" xfId="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7" fillId="0" borderId="17" xfId="2" applyNumberFormat="1" applyFont="1" applyBorder="1" applyAlignment="1">
      <alignment horizontal="center" vertical="center"/>
    </xf>
    <xf numFmtId="4" fontId="3" fillId="0" borderId="17" xfId="2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6" fillId="0" borderId="17" xfId="1" applyFont="1" applyBorder="1" applyAlignment="1">
      <alignment horizontal="right" vertical="top"/>
    </xf>
    <xf numFmtId="0" fontId="6" fillId="0" borderId="2" xfId="1" applyFont="1" applyBorder="1" applyAlignment="1">
      <alignment horizontal="right" vertical="top"/>
    </xf>
    <xf numFmtId="1" fontId="15" fillId="2" borderId="5" xfId="3" quotePrefix="1" applyNumberFormat="1" applyFont="1" applyFill="1" applyBorder="1" applyAlignment="1" applyProtection="1">
      <alignment horizontal="center" vertical="center" wrapText="1"/>
      <protection locked="0"/>
    </xf>
    <xf numFmtId="1" fontId="15" fillId="2" borderId="6" xfId="3" quotePrefix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top" wrapText="1"/>
    </xf>
    <xf numFmtId="0" fontId="6" fillId="0" borderId="3" xfId="1" applyFont="1" applyBorder="1" applyAlignment="1">
      <alignment horizontal="right" vertical="top"/>
    </xf>
  </cellXfs>
  <cellStyles count="1638">
    <cellStyle name="_АСУ ТП ЦПС ЮБ расшифровка( Скорректирован с НА)1" xfId="5" xr:uid="{00000000-0005-0000-0000-000000000000}"/>
    <cellStyle name="_Выполнение ЦППН-2 декабрь(УКС)" xfId="6" xr:uid="{00000000-0005-0000-0000-000001000000}"/>
    <cellStyle name="_днс мат" xfId="7" xr:uid="{00000000-0005-0000-0000-000002000000}"/>
    <cellStyle name="_ДНС СЗ  НМ свод" xfId="8" xr:uid="{00000000-0005-0000-0000-000003000000}"/>
    <cellStyle name="_доп.согл дог136  5 ПОС после ПСО" xfId="9" xr:uid="{00000000-0005-0000-0000-000004000000}"/>
    <cellStyle name="_К206 РН-Автоматика" xfId="10" xr:uid="{00000000-0005-0000-0000-000005000000}"/>
    <cellStyle name="_КДФТ Лемпино материалы и оборудование" xfId="11" xr:uid="{00000000-0005-0000-0000-000006000000}"/>
    <cellStyle name="_Книга1" xfId="12" xr:uid="{00000000-0005-0000-0000-000007000000}"/>
    <cellStyle name="_КНС куста 205" xfId="13" xr:uid="{00000000-0005-0000-0000-000008000000}"/>
    <cellStyle name="_КНС куста 216 прилож" xfId="14" xr:uid="{00000000-0005-0000-0000-000009000000}"/>
    <cellStyle name="_Куст 142  6950-Р142  для работы с подрядчиком" xfId="15" xr:uid="{00000000-0005-0000-0000-00000A000000}"/>
    <cellStyle name="_Куст 143 6950 Д1 для работы с подрядчиком" xfId="16" xr:uid="{00000000-0005-0000-0000-00000B000000}"/>
    <cellStyle name="_Куст 289" xfId="17" xr:uid="{00000000-0005-0000-0000-00000C000000}"/>
    <cellStyle name="_Куст 291 6950-Р291" xfId="18" xr:uid="{00000000-0005-0000-0000-00000D000000}"/>
    <cellStyle name="_материалы КНС 216" xfId="19" xr:uid="{00000000-0005-0000-0000-00000E000000}"/>
    <cellStyle name="_Оборудование  КНС 143" xfId="20" xr:uid="{00000000-0005-0000-0000-00000F000000}"/>
    <cellStyle name="_ООО Плазма напорн.нефтепр уз19е уз5а ОКОНЧАТ" xfId="21" xr:uid="{00000000-0005-0000-0000-000010000000}"/>
    <cellStyle name="_От Маркеловой" xfId="22" xr:uid="{00000000-0005-0000-0000-000011000000}"/>
    <cellStyle name="_пнр" xfId="23" xr:uid="{00000000-0005-0000-0000-000012000000}"/>
    <cellStyle name="_ПНР городская баня" xfId="24" xr:uid="{00000000-0005-0000-0000-000013000000}"/>
    <cellStyle name="_ПНР кусты приобское 238,241,243,245,251 Нефтьмонтаж" xfId="25" xr:uid="{00000000-0005-0000-0000-000014000000}"/>
    <cellStyle name="_ПНР образец" xfId="26" xr:uid="{00000000-0005-0000-0000-000015000000}"/>
    <cellStyle name="_Прил 2, 3, 4, 5" xfId="27" xr:uid="{00000000-0005-0000-0000-000016000000}"/>
    <cellStyle name="_Приложения" xfId="28" xr:uid="{00000000-0005-0000-0000-000017000000}"/>
    <cellStyle name="_Приложения к договору 136РРЛ" xfId="29" xr:uid="{00000000-0005-0000-0000-000018000000}"/>
    <cellStyle name="_ПРИЛОЖЕНИЯ к договору кор" xfId="30" xr:uid="{00000000-0005-0000-0000-000019000000}"/>
    <cellStyle name="_Проверка Расчет дог.цены Куст скв. 205 БИС1(от подрядчика) согласовано" xfId="31" xr:uid="{00000000-0005-0000-0000-00001A000000}"/>
    <cellStyle name="_Разд вед" xfId="32" xr:uid="{00000000-0005-0000-0000-00001B000000}"/>
    <cellStyle name="_Расчет договорной цены Куст скважины 209 БИС3" xfId="33" xr:uid="{00000000-0005-0000-0000-00001C000000}"/>
    <cellStyle name="_РН 231105" xfId="34" xr:uid="{00000000-0005-0000-0000-00001D000000}"/>
    <cellStyle name="_РН-А" xfId="35" xr:uid="{00000000-0005-0000-0000-00001E000000}"/>
    <cellStyle name="_Свод КНС куст 216" xfId="36" xr:uid="{00000000-0005-0000-0000-00001F000000}"/>
    <cellStyle name="_Свод КНС ОМБИНКА доп сог" xfId="37" xr:uid="{00000000-0005-0000-0000-000020000000}"/>
    <cellStyle name="_свод ЦППН 3 ЮБ 1" xfId="38" xr:uid="{00000000-0005-0000-0000-000021000000}"/>
    <cellStyle name="_свод ЦПС Приразл РНА 2006-кор" xfId="39" xr:uid="{00000000-0005-0000-0000-000022000000}"/>
    <cellStyle name="_Смета ПНР изм." xfId="40" xr:uid="{00000000-0005-0000-0000-000023000000}"/>
    <cellStyle name="_смета пнр рн авт" xfId="41" xr:uid="{00000000-0005-0000-0000-000024000000}"/>
    <cellStyle name="_Сметы Асомкино от РН-Автом" xfId="42" xr:uid="{00000000-0005-0000-0000-000025000000}"/>
    <cellStyle name="_СМР ЗМБ 1 пункт слива нефти" xfId="43" xr:uid="{00000000-0005-0000-0000-000026000000}"/>
    <cellStyle name="_СМР_РПД_25.01.03" xfId="44" xr:uid="{00000000-0005-0000-0000-000027000000}"/>
    <cellStyle name="_Спецификация для ОЗНА 1" xfId="45" xr:uid="{00000000-0005-0000-0000-000028000000}"/>
    <cellStyle name="_Стоимость ПТК БКНС 1 СУ мр" xfId="46" xr:uid="{00000000-0005-0000-0000-000029000000}"/>
    <cellStyle name="_Стоимость ПТК БКНС4" xfId="47" xr:uid="{00000000-0005-0000-0000-00002A000000}"/>
    <cellStyle name="20% - Акцент1 10 2" xfId="48" xr:uid="{00000000-0005-0000-0000-00002B000000}"/>
    <cellStyle name="20% - Акцент1 11" xfId="49" xr:uid="{00000000-0005-0000-0000-00002C000000}"/>
    <cellStyle name="20% - Акцент1 2" xfId="50" xr:uid="{00000000-0005-0000-0000-00002D000000}"/>
    <cellStyle name="20% - Акцент1 2 2" xfId="51" xr:uid="{00000000-0005-0000-0000-00002E000000}"/>
    <cellStyle name="20% - Акцент1 3 2" xfId="52" xr:uid="{00000000-0005-0000-0000-00002F000000}"/>
    <cellStyle name="20% - Акцент1 4 2" xfId="53" xr:uid="{00000000-0005-0000-0000-000030000000}"/>
    <cellStyle name="20% - Акцент1 5 2" xfId="54" xr:uid="{00000000-0005-0000-0000-000031000000}"/>
    <cellStyle name="20% - Акцент1 6 2" xfId="55" xr:uid="{00000000-0005-0000-0000-000032000000}"/>
    <cellStyle name="20% - Акцент1 7 2" xfId="56" xr:uid="{00000000-0005-0000-0000-000033000000}"/>
    <cellStyle name="20% - Акцент1 8 2" xfId="57" xr:uid="{00000000-0005-0000-0000-000034000000}"/>
    <cellStyle name="20% - Акцент1 9 2" xfId="58" xr:uid="{00000000-0005-0000-0000-000035000000}"/>
    <cellStyle name="20% - Акцент2 10 2" xfId="59" xr:uid="{00000000-0005-0000-0000-000036000000}"/>
    <cellStyle name="20% - Акцент2 11" xfId="60" xr:uid="{00000000-0005-0000-0000-000037000000}"/>
    <cellStyle name="20% - Акцент2 2" xfId="61" xr:uid="{00000000-0005-0000-0000-000038000000}"/>
    <cellStyle name="20% - Акцент2 2 2" xfId="62" xr:uid="{00000000-0005-0000-0000-000039000000}"/>
    <cellStyle name="20% - Акцент2 3 2" xfId="63" xr:uid="{00000000-0005-0000-0000-00003A000000}"/>
    <cellStyle name="20% - Акцент2 4 2" xfId="64" xr:uid="{00000000-0005-0000-0000-00003B000000}"/>
    <cellStyle name="20% - Акцент2 5 2" xfId="65" xr:uid="{00000000-0005-0000-0000-00003C000000}"/>
    <cellStyle name="20% - Акцент2 6 2" xfId="66" xr:uid="{00000000-0005-0000-0000-00003D000000}"/>
    <cellStyle name="20% - Акцент2 7 2" xfId="67" xr:uid="{00000000-0005-0000-0000-00003E000000}"/>
    <cellStyle name="20% - Акцент2 8 2" xfId="68" xr:uid="{00000000-0005-0000-0000-00003F000000}"/>
    <cellStyle name="20% - Акцент2 9 2" xfId="69" xr:uid="{00000000-0005-0000-0000-000040000000}"/>
    <cellStyle name="20% - Акцент3 10 2" xfId="70" xr:uid="{00000000-0005-0000-0000-000041000000}"/>
    <cellStyle name="20% - Акцент3 11" xfId="71" xr:uid="{00000000-0005-0000-0000-000042000000}"/>
    <cellStyle name="20% - Акцент3 2" xfId="72" xr:uid="{00000000-0005-0000-0000-000043000000}"/>
    <cellStyle name="20% - Акцент3 2 2" xfId="73" xr:uid="{00000000-0005-0000-0000-000044000000}"/>
    <cellStyle name="20% - Акцент3 3 2" xfId="74" xr:uid="{00000000-0005-0000-0000-000045000000}"/>
    <cellStyle name="20% - Акцент3 4 2" xfId="75" xr:uid="{00000000-0005-0000-0000-000046000000}"/>
    <cellStyle name="20% - Акцент3 5 2" xfId="76" xr:uid="{00000000-0005-0000-0000-000047000000}"/>
    <cellStyle name="20% - Акцент3 6 2" xfId="77" xr:uid="{00000000-0005-0000-0000-000048000000}"/>
    <cellStyle name="20% - Акцент3 7 2" xfId="78" xr:uid="{00000000-0005-0000-0000-000049000000}"/>
    <cellStyle name="20% - Акцент3 8 2" xfId="79" xr:uid="{00000000-0005-0000-0000-00004A000000}"/>
    <cellStyle name="20% - Акцент3 9 2" xfId="80" xr:uid="{00000000-0005-0000-0000-00004B000000}"/>
    <cellStyle name="20% - Акцент4 10 2" xfId="81" xr:uid="{00000000-0005-0000-0000-00004C000000}"/>
    <cellStyle name="20% - Акцент4 11" xfId="82" xr:uid="{00000000-0005-0000-0000-00004D000000}"/>
    <cellStyle name="20% - Акцент4 2" xfId="83" xr:uid="{00000000-0005-0000-0000-00004E000000}"/>
    <cellStyle name="20% - Акцент4 2 2" xfId="84" xr:uid="{00000000-0005-0000-0000-00004F000000}"/>
    <cellStyle name="20% - Акцент4 3 2" xfId="85" xr:uid="{00000000-0005-0000-0000-000050000000}"/>
    <cellStyle name="20% - Акцент4 4 2" xfId="86" xr:uid="{00000000-0005-0000-0000-000051000000}"/>
    <cellStyle name="20% - Акцент4 5 2" xfId="87" xr:uid="{00000000-0005-0000-0000-000052000000}"/>
    <cellStyle name="20% - Акцент4 6 2" xfId="88" xr:uid="{00000000-0005-0000-0000-000053000000}"/>
    <cellStyle name="20% - Акцент4 7 2" xfId="89" xr:uid="{00000000-0005-0000-0000-000054000000}"/>
    <cellStyle name="20% - Акцент4 8 2" xfId="90" xr:uid="{00000000-0005-0000-0000-000055000000}"/>
    <cellStyle name="20% - Акцент4 9 2" xfId="91" xr:uid="{00000000-0005-0000-0000-000056000000}"/>
    <cellStyle name="20% - Акцент5 10 2" xfId="92" xr:uid="{00000000-0005-0000-0000-000057000000}"/>
    <cellStyle name="20% - Акцент5 11" xfId="93" xr:uid="{00000000-0005-0000-0000-000058000000}"/>
    <cellStyle name="20% - Акцент5 2" xfId="94" xr:uid="{00000000-0005-0000-0000-000059000000}"/>
    <cellStyle name="20% - Акцент5 2 2" xfId="95" xr:uid="{00000000-0005-0000-0000-00005A000000}"/>
    <cellStyle name="20% - Акцент5 3 2" xfId="96" xr:uid="{00000000-0005-0000-0000-00005B000000}"/>
    <cellStyle name="20% - Акцент5 4 2" xfId="97" xr:uid="{00000000-0005-0000-0000-00005C000000}"/>
    <cellStyle name="20% - Акцент5 5 2" xfId="98" xr:uid="{00000000-0005-0000-0000-00005D000000}"/>
    <cellStyle name="20% - Акцент5 6 2" xfId="99" xr:uid="{00000000-0005-0000-0000-00005E000000}"/>
    <cellStyle name="20% - Акцент5 7 2" xfId="100" xr:uid="{00000000-0005-0000-0000-00005F000000}"/>
    <cellStyle name="20% - Акцент5 8 2" xfId="101" xr:uid="{00000000-0005-0000-0000-000060000000}"/>
    <cellStyle name="20% - Акцент5 9 2" xfId="102" xr:uid="{00000000-0005-0000-0000-000061000000}"/>
    <cellStyle name="20% - Акцент6 10 2" xfId="103" xr:uid="{00000000-0005-0000-0000-000062000000}"/>
    <cellStyle name="20% - Акцент6 11" xfId="104" xr:uid="{00000000-0005-0000-0000-000063000000}"/>
    <cellStyle name="20% - Акцент6 2" xfId="105" xr:uid="{00000000-0005-0000-0000-000064000000}"/>
    <cellStyle name="20% - Акцент6 2 2" xfId="106" xr:uid="{00000000-0005-0000-0000-000065000000}"/>
    <cellStyle name="20% - Акцент6 3 2" xfId="107" xr:uid="{00000000-0005-0000-0000-000066000000}"/>
    <cellStyle name="20% - Акцент6 4 2" xfId="108" xr:uid="{00000000-0005-0000-0000-000067000000}"/>
    <cellStyle name="20% - Акцент6 5 2" xfId="109" xr:uid="{00000000-0005-0000-0000-000068000000}"/>
    <cellStyle name="20% - Акцент6 6 2" xfId="110" xr:uid="{00000000-0005-0000-0000-000069000000}"/>
    <cellStyle name="20% - Акцент6 7 2" xfId="111" xr:uid="{00000000-0005-0000-0000-00006A000000}"/>
    <cellStyle name="20% - Акцент6 8 2" xfId="112" xr:uid="{00000000-0005-0000-0000-00006B000000}"/>
    <cellStyle name="20% - Акцент6 9 2" xfId="113" xr:uid="{00000000-0005-0000-0000-00006C000000}"/>
    <cellStyle name="40% - Акцент1 10 2" xfId="114" xr:uid="{00000000-0005-0000-0000-00006D000000}"/>
    <cellStyle name="40% - Акцент1 11" xfId="115" xr:uid="{00000000-0005-0000-0000-00006E000000}"/>
    <cellStyle name="40% - Акцент1 2" xfId="116" xr:uid="{00000000-0005-0000-0000-00006F000000}"/>
    <cellStyle name="40% - Акцент1 2 2" xfId="117" xr:uid="{00000000-0005-0000-0000-000070000000}"/>
    <cellStyle name="40% - Акцент1 3 2" xfId="118" xr:uid="{00000000-0005-0000-0000-000071000000}"/>
    <cellStyle name="40% - Акцент1 4 2" xfId="119" xr:uid="{00000000-0005-0000-0000-000072000000}"/>
    <cellStyle name="40% - Акцент1 5 2" xfId="120" xr:uid="{00000000-0005-0000-0000-000073000000}"/>
    <cellStyle name="40% - Акцент1 6 2" xfId="121" xr:uid="{00000000-0005-0000-0000-000074000000}"/>
    <cellStyle name="40% - Акцент1 7 2" xfId="122" xr:uid="{00000000-0005-0000-0000-000075000000}"/>
    <cellStyle name="40% - Акцент1 8 2" xfId="123" xr:uid="{00000000-0005-0000-0000-000076000000}"/>
    <cellStyle name="40% - Акцент1 9 2" xfId="124" xr:uid="{00000000-0005-0000-0000-000077000000}"/>
    <cellStyle name="40% - Акцент2 10 2" xfId="125" xr:uid="{00000000-0005-0000-0000-000078000000}"/>
    <cellStyle name="40% - Акцент2 11" xfId="126" xr:uid="{00000000-0005-0000-0000-000079000000}"/>
    <cellStyle name="40% - Акцент2 2" xfId="127" xr:uid="{00000000-0005-0000-0000-00007A000000}"/>
    <cellStyle name="40% - Акцент2 2 2" xfId="128" xr:uid="{00000000-0005-0000-0000-00007B000000}"/>
    <cellStyle name="40% - Акцент2 3 2" xfId="129" xr:uid="{00000000-0005-0000-0000-00007C000000}"/>
    <cellStyle name="40% - Акцент2 4 2" xfId="130" xr:uid="{00000000-0005-0000-0000-00007D000000}"/>
    <cellStyle name="40% - Акцент2 5 2" xfId="131" xr:uid="{00000000-0005-0000-0000-00007E000000}"/>
    <cellStyle name="40% - Акцент2 6 2" xfId="132" xr:uid="{00000000-0005-0000-0000-00007F000000}"/>
    <cellStyle name="40% - Акцент2 7 2" xfId="133" xr:uid="{00000000-0005-0000-0000-000080000000}"/>
    <cellStyle name="40% - Акцент2 8 2" xfId="134" xr:uid="{00000000-0005-0000-0000-000081000000}"/>
    <cellStyle name="40% - Акцент2 9 2" xfId="135" xr:uid="{00000000-0005-0000-0000-000082000000}"/>
    <cellStyle name="40% - Акцент3 10 2" xfId="136" xr:uid="{00000000-0005-0000-0000-000083000000}"/>
    <cellStyle name="40% - Акцент3 11" xfId="137" xr:uid="{00000000-0005-0000-0000-000084000000}"/>
    <cellStyle name="40% - Акцент3 2" xfId="138" xr:uid="{00000000-0005-0000-0000-000085000000}"/>
    <cellStyle name="40% - Акцент3 2 2" xfId="139" xr:uid="{00000000-0005-0000-0000-000086000000}"/>
    <cellStyle name="40% - Акцент3 3 2" xfId="140" xr:uid="{00000000-0005-0000-0000-000087000000}"/>
    <cellStyle name="40% - Акцент3 4 2" xfId="141" xr:uid="{00000000-0005-0000-0000-000088000000}"/>
    <cellStyle name="40% - Акцент3 5 2" xfId="142" xr:uid="{00000000-0005-0000-0000-000089000000}"/>
    <cellStyle name="40% - Акцент3 6 2" xfId="143" xr:uid="{00000000-0005-0000-0000-00008A000000}"/>
    <cellStyle name="40% - Акцент3 7 2" xfId="144" xr:uid="{00000000-0005-0000-0000-00008B000000}"/>
    <cellStyle name="40% - Акцент3 8 2" xfId="145" xr:uid="{00000000-0005-0000-0000-00008C000000}"/>
    <cellStyle name="40% - Акцент3 9 2" xfId="146" xr:uid="{00000000-0005-0000-0000-00008D000000}"/>
    <cellStyle name="40% - Акцент4 10 2" xfId="147" xr:uid="{00000000-0005-0000-0000-00008E000000}"/>
    <cellStyle name="40% - Акцент4 11" xfId="148" xr:uid="{00000000-0005-0000-0000-00008F000000}"/>
    <cellStyle name="40% - Акцент4 2" xfId="149" xr:uid="{00000000-0005-0000-0000-000090000000}"/>
    <cellStyle name="40% - Акцент4 2 2" xfId="150" xr:uid="{00000000-0005-0000-0000-000091000000}"/>
    <cellStyle name="40% - Акцент4 3 2" xfId="151" xr:uid="{00000000-0005-0000-0000-000092000000}"/>
    <cellStyle name="40% - Акцент4 4 2" xfId="152" xr:uid="{00000000-0005-0000-0000-000093000000}"/>
    <cellStyle name="40% - Акцент4 5 2" xfId="153" xr:uid="{00000000-0005-0000-0000-000094000000}"/>
    <cellStyle name="40% - Акцент4 6 2" xfId="154" xr:uid="{00000000-0005-0000-0000-000095000000}"/>
    <cellStyle name="40% - Акцент4 7 2" xfId="155" xr:uid="{00000000-0005-0000-0000-000096000000}"/>
    <cellStyle name="40% - Акцент4 8 2" xfId="156" xr:uid="{00000000-0005-0000-0000-000097000000}"/>
    <cellStyle name="40% - Акцент4 9 2" xfId="157" xr:uid="{00000000-0005-0000-0000-000098000000}"/>
    <cellStyle name="40% - Акцент5 10 2" xfId="158" xr:uid="{00000000-0005-0000-0000-000099000000}"/>
    <cellStyle name="40% - Акцент5 11" xfId="159" xr:uid="{00000000-0005-0000-0000-00009A000000}"/>
    <cellStyle name="40% - Акцент5 2" xfId="160" xr:uid="{00000000-0005-0000-0000-00009B000000}"/>
    <cellStyle name="40% - Акцент5 2 2" xfId="161" xr:uid="{00000000-0005-0000-0000-00009C000000}"/>
    <cellStyle name="40% - Акцент5 3 2" xfId="162" xr:uid="{00000000-0005-0000-0000-00009D000000}"/>
    <cellStyle name="40% - Акцент5 4 2" xfId="163" xr:uid="{00000000-0005-0000-0000-00009E000000}"/>
    <cellStyle name="40% - Акцент5 5 2" xfId="164" xr:uid="{00000000-0005-0000-0000-00009F000000}"/>
    <cellStyle name="40% - Акцент5 6 2" xfId="165" xr:uid="{00000000-0005-0000-0000-0000A0000000}"/>
    <cellStyle name="40% - Акцент5 7 2" xfId="166" xr:uid="{00000000-0005-0000-0000-0000A1000000}"/>
    <cellStyle name="40% - Акцент5 8 2" xfId="167" xr:uid="{00000000-0005-0000-0000-0000A2000000}"/>
    <cellStyle name="40% - Акцент5 9 2" xfId="168" xr:uid="{00000000-0005-0000-0000-0000A3000000}"/>
    <cellStyle name="40% - Акцент6 10 2" xfId="169" xr:uid="{00000000-0005-0000-0000-0000A4000000}"/>
    <cellStyle name="40% - Акцент6 11" xfId="170" xr:uid="{00000000-0005-0000-0000-0000A5000000}"/>
    <cellStyle name="40% - Акцент6 2" xfId="171" xr:uid="{00000000-0005-0000-0000-0000A6000000}"/>
    <cellStyle name="40% - Акцент6 2 2" xfId="172" xr:uid="{00000000-0005-0000-0000-0000A7000000}"/>
    <cellStyle name="40% - Акцент6 3 2" xfId="173" xr:uid="{00000000-0005-0000-0000-0000A8000000}"/>
    <cellStyle name="40% - Акцент6 4 2" xfId="174" xr:uid="{00000000-0005-0000-0000-0000A9000000}"/>
    <cellStyle name="40% - Акцент6 5 2" xfId="175" xr:uid="{00000000-0005-0000-0000-0000AA000000}"/>
    <cellStyle name="40% - Акцент6 6 2" xfId="176" xr:uid="{00000000-0005-0000-0000-0000AB000000}"/>
    <cellStyle name="40% - Акцент6 7 2" xfId="177" xr:uid="{00000000-0005-0000-0000-0000AC000000}"/>
    <cellStyle name="40% - Акцент6 8 2" xfId="178" xr:uid="{00000000-0005-0000-0000-0000AD000000}"/>
    <cellStyle name="40% - Акцент6 9 2" xfId="179" xr:uid="{00000000-0005-0000-0000-0000AE000000}"/>
    <cellStyle name="60% - Акцент1 10 2" xfId="180" xr:uid="{00000000-0005-0000-0000-0000AF000000}"/>
    <cellStyle name="60% - Акцент1 11" xfId="181" xr:uid="{00000000-0005-0000-0000-0000B0000000}"/>
    <cellStyle name="60% - Акцент1 2" xfId="182" xr:uid="{00000000-0005-0000-0000-0000B1000000}"/>
    <cellStyle name="60% - Акцент1 2 2" xfId="183" xr:uid="{00000000-0005-0000-0000-0000B2000000}"/>
    <cellStyle name="60% - Акцент1 3 2" xfId="184" xr:uid="{00000000-0005-0000-0000-0000B3000000}"/>
    <cellStyle name="60% - Акцент1 4 2" xfId="185" xr:uid="{00000000-0005-0000-0000-0000B4000000}"/>
    <cellStyle name="60% - Акцент1 5 2" xfId="186" xr:uid="{00000000-0005-0000-0000-0000B5000000}"/>
    <cellStyle name="60% - Акцент1 6 2" xfId="187" xr:uid="{00000000-0005-0000-0000-0000B6000000}"/>
    <cellStyle name="60% - Акцент1 7 2" xfId="188" xr:uid="{00000000-0005-0000-0000-0000B7000000}"/>
    <cellStyle name="60% - Акцент1 8 2" xfId="189" xr:uid="{00000000-0005-0000-0000-0000B8000000}"/>
    <cellStyle name="60% - Акцент1 9 2" xfId="190" xr:uid="{00000000-0005-0000-0000-0000B9000000}"/>
    <cellStyle name="60% - Акцент2 10 2" xfId="191" xr:uid="{00000000-0005-0000-0000-0000BA000000}"/>
    <cellStyle name="60% - Акцент2 11" xfId="192" xr:uid="{00000000-0005-0000-0000-0000BB000000}"/>
    <cellStyle name="60% - Акцент2 2" xfId="193" xr:uid="{00000000-0005-0000-0000-0000BC000000}"/>
    <cellStyle name="60% - Акцент2 2 2" xfId="194" xr:uid="{00000000-0005-0000-0000-0000BD000000}"/>
    <cellStyle name="60% - Акцент2 3 2" xfId="195" xr:uid="{00000000-0005-0000-0000-0000BE000000}"/>
    <cellStyle name="60% - Акцент2 4 2" xfId="196" xr:uid="{00000000-0005-0000-0000-0000BF000000}"/>
    <cellStyle name="60% - Акцент2 5 2" xfId="197" xr:uid="{00000000-0005-0000-0000-0000C0000000}"/>
    <cellStyle name="60% - Акцент2 6 2" xfId="198" xr:uid="{00000000-0005-0000-0000-0000C1000000}"/>
    <cellStyle name="60% - Акцент2 7 2" xfId="199" xr:uid="{00000000-0005-0000-0000-0000C2000000}"/>
    <cellStyle name="60% - Акцент2 8 2" xfId="200" xr:uid="{00000000-0005-0000-0000-0000C3000000}"/>
    <cellStyle name="60% - Акцент2 9 2" xfId="201" xr:uid="{00000000-0005-0000-0000-0000C4000000}"/>
    <cellStyle name="60% - Акцент3 10 2" xfId="202" xr:uid="{00000000-0005-0000-0000-0000C5000000}"/>
    <cellStyle name="60% - Акцент3 11" xfId="203" xr:uid="{00000000-0005-0000-0000-0000C6000000}"/>
    <cellStyle name="60% - Акцент3 2" xfId="204" xr:uid="{00000000-0005-0000-0000-0000C7000000}"/>
    <cellStyle name="60% - Акцент3 2 2" xfId="205" xr:uid="{00000000-0005-0000-0000-0000C8000000}"/>
    <cellStyle name="60% - Акцент3 3 2" xfId="206" xr:uid="{00000000-0005-0000-0000-0000C9000000}"/>
    <cellStyle name="60% - Акцент3 4 2" xfId="207" xr:uid="{00000000-0005-0000-0000-0000CA000000}"/>
    <cellStyle name="60% - Акцент3 5 2" xfId="208" xr:uid="{00000000-0005-0000-0000-0000CB000000}"/>
    <cellStyle name="60% - Акцент3 6 2" xfId="209" xr:uid="{00000000-0005-0000-0000-0000CC000000}"/>
    <cellStyle name="60% - Акцент3 7 2" xfId="210" xr:uid="{00000000-0005-0000-0000-0000CD000000}"/>
    <cellStyle name="60% - Акцент3 8 2" xfId="211" xr:uid="{00000000-0005-0000-0000-0000CE000000}"/>
    <cellStyle name="60% - Акцент3 9 2" xfId="212" xr:uid="{00000000-0005-0000-0000-0000CF000000}"/>
    <cellStyle name="60% - Акцент4 10 2" xfId="213" xr:uid="{00000000-0005-0000-0000-0000D0000000}"/>
    <cellStyle name="60% - Акцент4 11" xfId="214" xr:uid="{00000000-0005-0000-0000-0000D1000000}"/>
    <cellStyle name="60% - Акцент4 2" xfId="215" xr:uid="{00000000-0005-0000-0000-0000D2000000}"/>
    <cellStyle name="60% - Акцент4 2 2" xfId="216" xr:uid="{00000000-0005-0000-0000-0000D3000000}"/>
    <cellStyle name="60% - Акцент4 3 2" xfId="217" xr:uid="{00000000-0005-0000-0000-0000D4000000}"/>
    <cellStyle name="60% - Акцент4 4 2" xfId="218" xr:uid="{00000000-0005-0000-0000-0000D5000000}"/>
    <cellStyle name="60% - Акцент4 5 2" xfId="219" xr:uid="{00000000-0005-0000-0000-0000D6000000}"/>
    <cellStyle name="60% - Акцент4 6 2" xfId="220" xr:uid="{00000000-0005-0000-0000-0000D7000000}"/>
    <cellStyle name="60% - Акцент4 7 2" xfId="221" xr:uid="{00000000-0005-0000-0000-0000D8000000}"/>
    <cellStyle name="60% - Акцент4 8 2" xfId="222" xr:uid="{00000000-0005-0000-0000-0000D9000000}"/>
    <cellStyle name="60% - Акцент4 9 2" xfId="223" xr:uid="{00000000-0005-0000-0000-0000DA000000}"/>
    <cellStyle name="60% - Акцент5 10 2" xfId="224" xr:uid="{00000000-0005-0000-0000-0000DB000000}"/>
    <cellStyle name="60% - Акцент5 11" xfId="225" xr:uid="{00000000-0005-0000-0000-0000DC000000}"/>
    <cellStyle name="60% - Акцент5 2" xfId="226" xr:uid="{00000000-0005-0000-0000-0000DD000000}"/>
    <cellStyle name="60% - Акцент5 2 2" xfId="227" xr:uid="{00000000-0005-0000-0000-0000DE000000}"/>
    <cellStyle name="60% - Акцент5 3 2" xfId="228" xr:uid="{00000000-0005-0000-0000-0000DF000000}"/>
    <cellStyle name="60% - Акцент5 4 2" xfId="229" xr:uid="{00000000-0005-0000-0000-0000E0000000}"/>
    <cellStyle name="60% - Акцент5 5 2" xfId="230" xr:uid="{00000000-0005-0000-0000-0000E1000000}"/>
    <cellStyle name="60% - Акцент5 6 2" xfId="231" xr:uid="{00000000-0005-0000-0000-0000E2000000}"/>
    <cellStyle name="60% - Акцент5 7 2" xfId="232" xr:uid="{00000000-0005-0000-0000-0000E3000000}"/>
    <cellStyle name="60% - Акцент5 8 2" xfId="233" xr:uid="{00000000-0005-0000-0000-0000E4000000}"/>
    <cellStyle name="60% - Акцент5 9 2" xfId="234" xr:uid="{00000000-0005-0000-0000-0000E5000000}"/>
    <cellStyle name="60% - Акцент6 10 2" xfId="235" xr:uid="{00000000-0005-0000-0000-0000E6000000}"/>
    <cellStyle name="60% - Акцент6 11" xfId="236" xr:uid="{00000000-0005-0000-0000-0000E7000000}"/>
    <cellStyle name="60% - Акцент6 2" xfId="237" xr:uid="{00000000-0005-0000-0000-0000E8000000}"/>
    <cellStyle name="60% - Акцент6 2 2" xfId="238" xr:uid="{00000000-0005-0000-0000-0000E9000000}"/>
    <cellStyle name="60% - Акцент6 3 2" xfId="239" xr:uid="{00000000-0005-0000-0000-0000EA000000}"/>
    <cellStyle name="60% - Акцент6 4 2" xfId="240" xr:uid="{00000000-0005-0000-0000-0000EB000000}"/>
    <cellStyle name="60% - Акцент6 5 2" xfId="241" xr:uid="{00000000-0005-0000-0000-0000EC000000}"/>
    <cellStyle name="60% - Акцент6 6 2" xfId="242" xr:uid="{00000000-0005-0000-0000-0000ED000000}"/>
    <cellStyle name="60% - Акцент6 7 2" xfId="243" xr:uid="{00000000-0005-0000-0000-0000EE000000}"/>
    <cellStyle name="60% - Акцент6 8 2" xfId="244" xr:uid="{00000000-0005-0000-0000-0000EF000000}"/>
    <cellStyle name="60% - Акцент6 9 2" xfId="245" xr:uid="{00000000-0005-0000-0000-0000F0000000}"/>
    <cellStyle name="Comma [0]" xfId="246" xr:uid="{00000000-0005-0000-0000-0000F1000000}"/>
    <cellStyle name="Comma_irl tel sep5" xfId="247" xr:uid="{00000000-0005-0000-0000-0000F2000000}"/>
    <cellStyle name="Currency [0]" xfId="248" xr:uid="{00000000-0005-0000-0000-0000F3000000}"/>
    <cellStyle name="Currency_irl tel sep5" xfId="249" xr:uid="{00000000-0005-0000-0000-0000F4000000}"/>
    <cellStyle name="Excel Built-in Normal" xfId="250" xr:uid="{00000000-0005-0000-0000-0000F5000000}"/>
    <cellStyle name="Grey" xfId="251" xr:uid="{00000000-0005-0000-0000-0000F6000000}"/>
    <cellStyle name="Input [yellow]" xfId="252" xr:uid="{00000000-0005-0000-0000-0000F7000000}"/>
    <cellStyle name="Input [yellow] 2" xfId="253" xr:uid="{00000000-0005-0000-0000-0000F8000000}"/>
    <cellStyle name="Input [yellow] 2 2" xfId="254" xr:uid="{00000000-0005-0000-0000-0000F9000000}"/>
    <cellStyle name="Input [yellow] 2 2 2" xfId="1618" xr:uid="{00000000-0005-0000-0000-0000FA000000}"/>
    <cellStyle name="Input [yellow] 2 3" xfId="255" xr:uid="{00000000-0005-0000-0000-0000FB000000}"/>
    <cellStyle name="Input [yellow] 2 3 2" xfId="1619" xr:uid="{00000000-0005-0000-0000-0000FC000000}"/>
    <cellStyle name="Input [yellow] 2 4" xfId="256" xr:uid="{00000000-0005-0000-0000-0000FD000000}"/>
    <cellStyle name="Input [yellow] 2 4 2" xfId="1620" xr:uid="{00000000-0005-0000-0000-0000FE000000}"/>
    <cellStyle name="Input [yellow] 2 5" xfId="257" xr:uid="{00000000-0005-0000-0000-0000FF000000}"/>
    <cellStyle name="Input [yellow] 2 5 2" xfId="1621" xr:uid="{00000000-0005-0000-0000-000000010000}"/>
    <cellStyle name="Input [yellow] 2 6" xfId="258" xr:uid="{00000000-0005-0000-0000-000001010000}"/>
    <cellStyle name="Input [yellow] 2 6 2" xfId="1622" xr:uid="{00000000-0005-0000-0000-000002010000}"/>
    <cellStyle name="Input [yellow] 2 7" xfId="259" xr:uid="{00000000-0005-0000-0000-000003010000}"/>
    <cellStyle name="Input [yellow] 2 7 2" xfId="1623" xr:uid="{00000000-0005-0000-0000-000004010000}"/>
    <cellStyle name="Input [yellow] 2 8" xfId="1617" xr:uid="{00000000-0005-0000-0000-000005010000}"/>
    <cellStyle name="Input [yellow] 3" xfId="1616" xr:uid="{00000000-0005-0000-0000-000006010000}"/>
    <cellStyle name="Normal - Style1" xfId="260" xr:uid="{00000000-0005-0000-0000-000007010000}"/>
    <cellStyle name="Normal 2" xfId="261" xr:uid="{00000000-0005-0000-0000-000008010000}"/>
    <cellStyle name="Normal_1702H" xfId="262" xr:uid="{00000000-0005-0000-0000-000009010000}"/>
    <cellStyle name="normбlnм_laroux" xfId="263" xr:uid="{00000000-0005-0000-0000-00000A010000}"/>
    <cellStyle name="Percent [2]" xfId="264" xr:uid="{00000000-0005-0000-0000-00000B010000}"/>
    <cellStyle name="SsrChapter" xfId="265" xr:uid="{00000000-0005-0000-0000-00000C010000}"/>
    <cellStyle name="Акт" xfId="266" xr:uid="{00000000-0005-0000-0000-00000D010000}"/>
    <cellStyle name="Акт 2" xfId="267" xr:uid="{00000000-0005-0000-0000-00000E010000}"/>
    <cellStyle name="Акт 2 2" xfId="1625" xr:uid="{00000000-0005-0000-0000-00000F010000}"/>
    <cellStyle name="Акт 3" xfId="1624" xr:uid="{00000000-0005-0000-0000-000010010000}"/>
    <cellStyle name="АктМТСН" xfId="268" xr:uid="{00000000-0005-0000-0000-000011010000}"/>
    <cellStyle name="Акцент1 10 2" xfId="269" xr:uid="{00000000-0005-0000-0000-000012010000}"/>
    <cellStyle name="Акцент1 11" xfId="270" xr:uid="{00000000-0005-0000-0000-000013010000}"/>
    <cellStyle name="Акцент1 2" xfId="271" xr:uid="{00000000-0005-0000-0000-000014010000}"/>
    <cellStyle name="Акцент1 2 2" xfId="272" xr:uid="{00000000-0005-0000-0000-000015010000}"/>
    <cellStyle name="Акцент1 3 2" xfId="273" xr:uid="{00000000-0005-0000-0000-000016010000}"/>
    <cellStyle name="Акцент1 4 2" xfId="274" xr:uid="{00000000-0005-0000-0000-000017010000}"/>
    <cellStyle name="Акцент1 5 2" xfId="275" xr:uid="{00000000-0005-0000-0000-000018010000}"/>
    <cellStyle name="Акцент1 6 2" xfId="276" xr:uid="{00000000-0005-0000-0000-000019010000}"/>
    <cellStyle name="Акцент1 7 2" xfId="277" xr:uid="{00000000-0005-0000-0000-00001A010000}"/>
    <cellStyle name="Акцент1 8 2" xfId="278" xr:uid="{00000000-0005-0000-0000-00001B010000}"/>
    <cellStyle name="Акцент1 9 2" xfId="279" xr:uid="{00000000-0005-0000-0000-00001C010000}"/>
    <cellStyle name="Акцент2 10 2" xfId="280" xr:uid="{00000000-0005-0000-0000-00001D010000}"/>
    <cellStyle name="Акцент2 11" xfId="281" xr:uid="{00000000-0005-0000-0000-00001E010000}"/>
    <cellStyle name="Акцент2 2" xfId="282" xr:uid="{00000000-0005-0000-0000-00001F010000}"/>
    <cellStyle name="Акцент2 2 2" xfId="283" xr:uid="{00000000-0005-0000-0000-000020010000}"/>
    <cellStyle name="Акцент2 3 2" xfId="284" xr:uid="{00000000-0005-0000-0000-000021010000}"/>
    <cellStyle name="Акцент2 4 2" xfId="285" xr:uid="{00000000-0005-0000-0000-000022010000}"/>
    <cellStyle name="Акцент2 5 2" xfId="286" xr:uid="{00000000-0005-0000-0000-000023010000}"/>
    <cellStyle name="Акцент2 6 2" xfId="287" xr:uid="{00000000-0005-0000-0000-000024010000}"/>
    <cellStyle name="Акцент2 7 2" xfId="288" xr:uid="{00000000-0005-0000-0000-000025010000}"/>
    <cellStyle name="Акцент2 8 2" xfId="289" xr:uid="{00000000-0005-0000-0000-000026010000}"/>
    <cellStyle name="Акцент2 9 2" xfId="290" xr:uid="{00000000-0005-0000-0000-000027010000}"/>
    <cellStyle name="Акцент3 10 2" xfId="291" xr:uid="{00000000-0005-0000-0000-000028010000}"/>
    <cellStyle name="Акцент3 11" xfId="292" xr:uid="{00000000-0005-0000-0000-000029010000}"/>
    <cellStyle name="Акцент3 2" xfId="293" xr:uid="{00000000-0005-0000-0000-00002A010000}"/>
    <cellStyle name="Акцент3 2 2" xfId="294" xr:uid="{00000000-0005-0000-0000-00002B010000}"/>
    <cellStyle name="Акцент3 3 2" xfId="295" xr:uid="{00000000-0005-0000-0000-00002C010000}"/>
    <cellStyle name="Акцент3 4 2" xfId="296" xr:uid="{00000000-0005-0000-0000-00002D010000}"/>
    <cellStyle name="Акцент3 5 2" xfId="297" xr:uid="{00000000-0005-0000-0000-00002E010000}"/>
    <cellStyle name="Акцент3 6 2" xfId="298" xr:uid="{00000000-0005-0000-0000-00002F010000}"/>
    <cellStyle name="Акцент3 7 2" xfId="299" xr:uid="{00000000-0005-0000-0000-000030010000}"/>
    <cellStyle name="Акцент3 8 2" xfId="300" xr:uid="{00000000-0005-0000-0000-000031010000}"/>
    <cellStyle name="Акцент3 9 2" xfId="301" xr:uid="{00000000-0005-0000-0000-000032010000}"/>
    <cellStyle name="Акцент4 10 2" xfId="302" xr:uid="{00000000-0005-0000-0000-000033010000}"/>
    <cellStyle name="Акцент4 11" xfId="303" xr:uid="{00000000-0005-0000-0000-000034010000}"/>
    <cellStyle name="Акцент4 2" xfId="304" xr:uid="{00000000-0005-0000-0000-000035010000}"/>
    <cellStyle name="Акцент4 2 2" xfId="305" xr:uid="{00000000-0005-0000-0000-000036010000}"/>
    <cellStyle name="Акцент4 3 2" xfId="306" xr:uid="{00000000-0005-0000-0000-000037010000}"/>
    <cellStyle name="Акцент4 4 2" xfId="307" xr:uid="{00000000-0005-0000-0000-000038010000}"/>
    <cellStyle name="Акцент4 5 2" xfId="308" xr:uid="{00000000-0005-0000-0000-000039010000}"/>
    <cellStyle name="Акцент4 6 2" xfId="309" xr:uid="{00000000-0005-0000-0000-00003A010000}"/>
    <cellStyle name="Акцент4 7 2" xfId="310" xr:uid="{00000000-0005-0000-0000-00003B010000}"/>
    <cellStyle name="Акцент4 8 2" xfId="311" xr:uid="{00000000-0005-0000-0000-00003C010000}"/>
    <cellStyle name="Акцент4 9 2" xfId="312" xr:uid="{00000000-0005-0000-0000-00003D010000}"/>
    <cellStyle name="Акцент5 10 2" xfId="313" xr:uid="{00000000-0005-0000-0000-00003E010000}"/>
    <cellStyle name="Акцент5 11" xfId="314" xr:uid="{00000000-0005-0000-0000-00003F010000}"/>
    <cellStyle name="Акцент5 2" xfId="315" xr:uid="{00000000-0005-0000-0000-000040010000}"/>
    <cellStyle name="Акцент5 2 2" xfId="316" xr:uid="{00000000-0005-0000-0000-000041010000}"/>
    <cellStyle name="Акцент5 3 2" xfId="317" xr:uid="{00000000-0005-0000-0000-000042010000}"/>
    <cellStyle name="Акцент5 4 2" xfId="318" xr:uid="{00000000-0005-0000-0000-000043010000}"/>
    <cellStyle name="Акцент5 5 2" xfId="319" xr:uid="{00000000-0005-0000-0000-000044010000}"/>
    <cellStyle name="Акцент5 6 2" xfId="320" xr:uid="{00000000-0005-0000-0000-000045010000}"/>
    <cellStyle name="Акцент5 7 2" xfId="321" xr:uid="{00000000-0005-0000-0000-000046010000}"/>
    <cellStyle name="Акцент5 8 2" xfId="322" xr:uid="{00000000-0005-0000-0000-000047010000}"/>
    <cellStyle name="Акцент5 9 2" xfId="323" xr:uid="{00000000-0005-0000-0000-000048010000}"/>
    <cellStyle name="Акцент6 10 2" xfId="324" xr:uid="{00000000-0005-0000-0000-000049010000}"/>
    <cellStyle name="Акцент6 11" xfId="325" xr:uid="{00000000-0005-0000-0000-00004A010000}"/>
    <cellStyle name="Акцент6 2" xfId="326" xr:uid="{00000000-0005-0000-0000-00004B010000}"/>
    <cellStyle name="Акцент6 2 2" xfId="327" xr:uid="{00000000-0005-0000-0000-00004C010000}"/>
    <cellStyle name="Акцент6 3 2" xfId="328" xr:uid="{00000000-0005-0000-0000-00004D010000}"/>
    <cellStyle name="Акцент6 4 2" xfId="329" xr:uid="{00000000-0005-0000-0000-00004E010000}"/>
    <cellStyle name="Акцент6 5 2" xfId="330" xr:uid="{00000000-0005-0000-0000-00004F010000}"/>
    <cellStyle name="Акцент6 6 2" xfId="331" xr:uid="{00000000-0005-0000-0000-000050010000}"/>
    <cellStyle name="Акцент6 7 2" xfId="332" xr:uid="{00000000-0005-0000-0000-000051010000}"/>
    <cellStyle name="Акцент6 8 2" xfId="333" xr:uid="{00000000-0005-0000-0000-000052010000}"/>
    <cellStyle name="Акцент6 9 2" xfId="334" xr:uid="{00000000-0005-0000-0000-000053010000}"/>
    <cellStyle name="Ввод  10 2" xfId="335" xr:uid="{00000000-0005-0000-0000-000054010000}"/>
    <cellStyle name="Ввод  10 2 2" xfId="336" xr:uid="{00000000-0005-0000-0000-000055010000}"/>
    <cellStyle name="Ввод  10 2 3" xfId="337" xr:uid="{00000000-0005-0000-0000-000056010000}"/>
    <cellStyle name="Ввод  10 2 4" xfId="338" xr:uid="{00000000-0005-0000-0000-000057010000}"/>
    <cellStyle name="Ввод  10 2 5" xfId="339" xr:uid="{00000000-0005-0000-0000-000058010000}"/>
    <cellStyle name="Ввод  10 2 6" xfId="340" xr:uid="{00000000-0005-0000-0000-000059010000}"/>
    <cellStyle name="Ввод  10 2 7" xfId="341" xr:uid="{00000000-0005-0000-0000-00005A010000}"/>
    <cellStyle name="Ввод  11" xfId="342" xr:uid="{00000000-0005-0000-0000-00005B010000}"/>
    <cellStyle name="Ввод  11 2" xfId="343" xr:uid="{00000000-0005-0000-0000-00005C010000}"/>
    <cellStyle name="Ввод  11 3" xfId="344" xr:uid="{00000000-0005-0000-0000-00005D010000}"/>
    <cellStyle name="Ввод  11 4" xfId="345" xr:uid="{00000000-0005-0000-0000-00005E010000}"/>
    <cellStyle name="Ввод  11 5" xfId="346" xr:uid="{00000000-0005-0000-0000-00005F010000}"/>
    <cellStyle name="Ввод  11 6" xfId="347" xr:uid="{00000000-0005-0000-0000-000060010000}"/>
    <cellStyle name="Ввод  11 7" xfId="348" xr:uid="{00000000-0005-0000-0000-000061010000}"/>
    <cellStyle name="Ввод  2" xfId="349" xr:uid="{00000000-0005-0000-0000-000062010000}"/>
    <cellStyle name="Ввод  2 2" xfId="350" xr:uid="{00000000-0005-0000-0000-000063010000}"/>
    <cellStyle name="Ввод  2 2 2" xfId="351" xr:uid="{00000000-0005-0000-0000-000064010000}"/>
    <cellStyle name="Ввод  2 2 3" xfId="352" xr:uid="{00000000-0005-0000-0000-000065010000}"/>
    <cellStyle name="Ввод  2 2 4" xfId="353" xr:uid="{00000000-0005-0000-0000-000066010000}"/>
    <cellStyle name="Ввод  2 2 5" xfId="354" xr:uid="{00000000-0005-0000-0000-000067010000}"/>
    <cellStyle name="Ввод  2 2 6" xfId="355" xr:uid="{00000000-0005-0000-0000-000068010000}"/>
    <cellStyle name="Ввод  2 2 7" xfId="356" xr:uid="{00000000-0005-0000-0000-000069010000}"/>
    <cellStyle name="Ввод  2 3" xfId="357" xr:uid="{00000000-0005-0000-0000-00006A010000}"/>
    <cellStyle name="Ввод  2 4" xfId="358" xr:uid="{00000000-0005-0000-0000-00006B010000}"/>
    <cellStyle name="Ввод  2 5" xfId="359" xr:uid="{00000000-0005-0000-0000-00006C010000}"/>
    <cellStyle name="Ввод  2 6" xfId="360" xr:uid="{00000000-0005-0000-0000-00006D010000}"/>
    <cellStyle name="Ввод  2 7" xfId="361" xr:uid="{00000000-0005-0000-0000-00006E010000}"/>
    <cellStyle name="Ввод  2 8" xfId="362" xr:uid="{00000000-0005-0000-0000-00006F010000}"/>
    <cellStyle name="Ввод  3 2" xfId="363" xr:uid="{00000000-0005-0000-0000-000070010000}"/>
    <cellStyle name="Ввод  3 2 2" xfId="364" xr:uid="{00000000-0005-0000-0000-000071010000}"/>
    <cellStyle name="Ввод  3 2 3" xfId="365" xr:uid="{00000000-0005-0000-0000-000072010000}"/>
    <cellStyle name="Ввод  3 2 4" xfId="366" xr:uid="{00000000-0005-0000-0000-000073010000}"/>
    <cellStyle name="Ввод  3 2 5" xfId="367" xr:uid="{00000000-0005-0000-0000-000074010000}"/>
    <cellStyle name="Ввод  3 2 6" xfId="368" xr:uid="{00000000-0005-0000-0000-000075010000}"/>
    <cellStyle name="Ввод  3 2 7" xfId="369" xr:uid="{00000000-0005-0000-0000-000076010000}"/>
    <cellStyle name="Ввод  4 2" xfId="370" xr:uid="{00000000-0005-0000-0000-000077010000}"/>
    <cellStyle name="Ввод  4 2 2" xfId="371" xr:uid="{00000000-0005-0000-0000-000078010000}"/>
    <cellStyle name="Ввод  4 2 3" xfId="372" xr:uid="{00000000-0005-0000-0000-000079010000}"/>
    <cellStyle name="Ввод  4 2 4" xfId="373" xr:uid="{00000000-0005-0000-0000-00007A010000}"/>
    <cellStyle name="Ввод  4 2 5" xfId="374" xr:uid="{00000000-0005-0000-0000-00007B010000}"/>
    <cellStyle name="Ввод  4 2 6" xfId="375" xr:uid="{00000000-0005-0000-0000-00007C010000}"/>
    <cellStyle name="Ввод  4 2 7" xfId="376" xr:uid="{00000000-0005-0000-0000-00007D010000}"/>
    <cellStyle name="Ввод  5 2" xfId="377" xr:uid="{00000000-0005-0000-0000-00007E010000}"/>
    <cellStyle name="Ввод  5 2 2" xfId="378" xr:uid="{00000000-0005-0000-0000-00007F010000}"/>
    <cellStyle name="Ввод  5 2 3" xfId="379" xr:uid="{00000000-0005-0000-0000-000080010000}"/>
    <cellStyle name="Ввод  5 2 4" xfId="380" xr:uid="{00000000-0005-0000-0000-000081010000}"/>
    <cellStyle name="Ввод  5 2 5" xfId="381" xr:uid="{00000000-0005-0000-0000-000082010000}"/>
    <cellStyle name="Ввод  5 2 6" xfId="382" xr:uid="{00000000-0005-0000-0000-000083010000}"/>
    <cellStyle name="Ввод  5 2 7" xfId="383" xr:uid="{00000000-0005-0000-0000-000084010000}"/>
    <cellStyle name="Ввод  6 2" xfId="384" xr:uid="{00000000-0005-0000-0000-000085010000}"/>
    <cellStyle name="Ввод  6 2 2" xfId="385" xr:uid="{00000000-0005-0000-0000-000086010000}"/>
    <cellStyle name="Ввод  6 2 3" xfId="386" xr:uid="{00000000-0005-0000-0000-000087010000}"/>
    <cellStyle name="Ввод  6 2 4" xfId="387" xr:uid="{00000000-0005-0000-0000-000088010000}"/>
    <cellStyle name="Ввод  6 2 5" xfId="388" xr:uid="{00000000-0005-0000-0000-000089010000}"/>
    <cellStyle name="Ввод  6 2 6" xfId="389" xr:uid="{00000000-0005-0000-0000-00008A010000}"/>
    <cellStyle name="Ввод  6 2 7" xfId="390" xr:uid="{00000000-0005-0000-0000-00008B010000}"/>
    <cellStyle name="Ввод  7 2" xfId="391" xr:uid="{00000000-0005-0000-0000-00008C010000}"/>
    <cellStyle name="Ввод  7 2 2" xfId="392" xr:uid="{00000000-0005-0000-0000-00008D010000}"/>
    <cellStyle name="Ввод  7 2 3" xfId="393" xr:uid="{00000000-0005-0000-0000-00008E010000}"/>
    <cellStyle name="Ввод  7 2 4" xfId="394" xr:uid="{00000000-0005-0000-0000-00008F010000}"/>
    <cellStyle name="Ввод  7 2 5" xfId="395" xr:uid="{00000000-0005-0000-0000-000090010000}"/>
    <cellStyle name="Ввод  7 2 6" xfId="396" xr:uid="{00000000-0005-0000-0000-000091010000}"/>
    <cellStyle name="Ввод  7 2 7" xfId="397" xr:uid="{00000000-0005-0000-0000-000092010000}"/>
    <cellStyle name="Ввод  8 2" xfId="398" xr:uid="{00000000-0005-0000-0000-000093010000}"/>
    <cellStyle name="Ввод  8 2 2" xfId="399" xr:uid="{00000000-0005-0000-0000-000094010000}"/>
    <cellStyle name="Ввод  8 2 3" xfId="400" xr:uid="{00000000-0005-0000-0000-000095010000}"/>
    <cellStyle name="Ввод  8 2 4" xfId="401" xr:uid="{00000000-0005-0000-0000-000096010000}"/>
    <cellStyle name="Ввод  8 2 5" xfId="402" xr:uid="{00000000-0005-0000-0000-000097010000}"/>
    <cellStyle name="Ввод  8 2 6" xfId="403" xr:uid="{00000000-0005-0000-0000-000098010000}"/>
    <cellStyle name="Ввод  8 2 7" xfId="404" xr:uid="{00000000-0005-0000-0000-000099010000}"/>
    <cellStyle name="Ввод  9 2" xfId="405" xr:uid="{00000000-0005-0000-0000-00009A010000}"/>
    <cellStyle name="Ввод  9 2 2" xfId="406" xr:uid="{00000000-0005-0000-0000-00009B010000}"/>
    <cellStyle name="Ввод  9 2 3" xfId="407" xr:uid="{00000000-0005-0000-0000-00009C010000}"/>
    <cellStyle name="Ввод  9 2 4" xfId="408" xr:uid="{00000000-0005-0000-0000-00009D010000}"/>
    <cellStyle name="Ввод  9 2 5" xfId="409" xr:uid="{00000000-0005-0000-0000-00009E010000}"/>
    <cellStyle name="Ввод  9 2 6" xfId="410" xr:uid="{00000000-0005-0000-0000-00009F010000}"/>
    <cellStyle name="Ввод  9 2 7" xfId="411" xr:uid="{00000000-0005-0000-0000-0000A0010000}"/>
    <cellStyle name="ВедРесурсов" xfId="412" xr:uid="{00000000-0005-0000-0000-0000A1010000}"/>
    <cellStyle name="ВедРесурсов 2" xfId="413" xr:uid="{00000000-0005-0000-0000-0000A2010000}"/>
    <cellStyle name="ВедРесурсов 2 2" xfId="1627" xr:uid="{00000000-0005-0000-0000-0000A3010000}"/>
    <cellStyle name="ВедРесурсов 3" xfId="1626" xr:uid="{00000000-0005-0000-0000-0000A4010000}"/>
    <cellStyle name="ВедРесурсовАкт" xfId="414" xr:uid="{00000000-0005-0000-0000-0000A5010000}"/>
    <cellStyle name="Вывод 10 2" xfId="415" xr:uid="{00000000-0005-0000-0000-0000A6010000}"/>
    <cellStyle name="Вывод 10 2 2" xfId="416" xr:uid="{00000000-0005-0000-0000-0000A7010000}"/>
    <cellStyle name="Вывод 10 2 3" xfId="417" xr:uid="{00000000-0005-0000-0000-0000A8010000}"/>
    <cellStyle name="Вывод 10 2 4" xfId="418" xr:uid="{00000000-0005-0000-0000-0000A9010000}"/>
    <cellStyle name="Вывод 10 2 5" xfId="419" xr:uid="{00000000-0005-0000-0000-0000AA010000}"/>
    <cellStyle name="Вывод 10 2 6" xfId="420" xr:uid="{00000000-0005-0000-0000-0000AB010000}"/>
    <cellStyle name="Вывод 10 2 7" xfId="421" xr:uid="{00000000-0005-0000-0000-0000AC010000}"/>
    <cellStyle name="Вывод 11" xfId="422" xr:uid="{00000000-0005-0000-0000-0000AD010000}"/>
    <cellStyle name="Вывод 11 2" xfId="423" xr:uid="{00000000-0005-0000-0000-0000AE010000}"/>
    <cellStyle name="Вывод 11 3" xfId="424" xr:uid="{00000000-0005-0000-0000-0000AF010000}"/>
    <cellStyle name="Вывод 11 4" xfId="425" xr:uid="{00000000-0005-0000-0000-0000B0010000}"/>
    <cellStyle name="Вывод 11 5" xfId="426" xr:uid="{00000000-0005-0000-0000-0000B1010000}"/>
    <cellStyle name="Вывод 11 6" xfId="427" xr:uid="{00000000-0005-0000-0000-0000B2010000}"/>
    <cellStyle name="Вывод 11 7" xfId="428" xr:uid="{00000000-0005-0000-0000-0000B3010000}"/>
    <cellStyle name="Вывод 2" xfId="429" xr:uid="{00000000-0005-0000-0000-0000B4010000}"/>
    <cellStyle name="Вывод 2 2" xfId="430" xr:uid="{00000000-0005-0000-0000-0000B5010000}"/>
    <cellStyle name="Вывод 2 2 2" xfId="431" xr:uid="{00000000-0005-0000-0000-0000B6010000}"/>
    <cellStyle name="Вывод 2 2 3" xfId="432" xr:uid="{00000000-0005-0000-0000-0000B7010000}"/>
    <cellStyle name="Вывод 2 2 4" xfId="433" xr:uid="{00000000-0005-0000-0000-0000B8010000}"/>
    <cellStyle name="Вывод 2 2 5" xfId="434" xr:uid="{00000000-0005-0000-0000-0000B9010000}"/>
    <cellStyle name="Вывод 2 2 6" xfId="435" xr:uid="{00000000-0005-0000-0000-0000BA010000}"/>
    <cellStyle name="Вывод 2 2 7" xfId="436" xr:uid="{00000000-0005-0000-0000-0000BB010000}"/>
    <cellStyle name="Вывод 2 3" xfId="437" xr:uid="{00000000-0005-0000-0000-0000BC010000}"/>
    <cellStyle name="Вывод 2 4" xfId="438" xr:uid="{00000000-0005-0000-0000-0000BD010000}"/>
    <cellStyle name="Вывод 2 5" xfId="439" xr:uid="{00000000-0005-0000-0000-0000BE010000}"/>
    <cellStyle name="Вывод 2 6" xfId="440" xr:uid="{00000000-0005-0000-0000-0000BF010000}"/>
    <cellStyle name="Вывод 2 7" xfId="441" xr:uid="{00000000-0005-0000-0000-0000C0010000}"/>
    <cellStyle name="Вывод 2 8" xfId="442" xr:uid="{00000000-0005-0000-0000-0000C1010000}"/>
    <cellStyle name="Вывод 3 2" xfId="443" xr:uid="{00000000-0005-0000-0000-0000C2010000}"/>
    <cellStyle name="Вывод 3 2 2" xfId="444" xr:uid="{00000000-0005-0000-0000-0000C3010000}"/>
    <cellStyle name="Вывод 3 2 3" xfId="445" xr:uid="{00000000-0005-0000-0000-0000C4010000}"/>
    <cellStyle name="Вывод 3 2 4" xfId="446" xr:uid="{00000000-0005-0000-0000-0000C5010000}"/>
    <cellStyle name="Вывод 3 2 5" xfId="447" xr:uid="{00000000-0005-0000-0000-0000C6010000}"/>
    <cellStyle name="Вывод 3 2 6" xfId="448" xr:uid="{00000000-0005-0000-0000-0000C7010000}"/>
    <cellStyle name="Вывод 3 2 7" xfId="449" xr:uid="{00000000-0005-0000-0000-0000C8010000}"/>
    <cellStyle name="Вывод 4 2" xfId="450" xr:uid="{00000000-0005-0000-0000-0000C9010000}"/>
    <cellStyle name="Вывод 4 2 2" xfId="451" xr:uid="{00000000-0005-0000-0000-0000CA010000}"/>
    <cellStyle name="Вывод 4 2 3" xfId="452" xr:uid="{00000000-0005-0000-0000-0000CB010000}"/>
    <cellStyle name="Вывод 4 2 4" xfId="453" xr:uid="{00000000-0005-0000-0000-0000CC010000}"/>
    <cellStyle name="Вывод 4 2 5" xfId="454" xr:uid="{00000000-0005-0000-0000-0000CD010000}"/>
    <cellStyle name="Вывод 4 2 6" xfId="455" xr:uid="{00000000-0005-0000-0000-0000CE010000}"/>
    <cellStyle name="Вывод 4 2 7" xfId="456" xr:uid="{00000000-0005-0000-0000-0000CF010000}"/>
    <cellStyle name="Вывод 5 2" xfId="457" xr:uid="{00000000-0005-0000-0000-0000D0010000}"/>
    <cellStyle name="Вывод 5 2 2" xfId="458" xr:uid="{00000000-0005-0000-0000-0000D1010000}"/>
    <cellStyle name="Вывод 5 2 3" xfId="459" xr:uid="{00000000-0005-0000-0000-0000D2010000}"/>
    <cellStyle name="Вывод 5 2 4" xfId="460" xr:uid="{00000000-0005-0000-0000-0000D3010000}"/>
    <cellStyle name="Вывод 5 2 5" xfId="461" xr:uid="{00000000-0005-0000-0000-0000D4010000}"/>
    <cellStyle name="Вывод 5 2 6" xfId="462" xr:uid="{00000000-0005-0000-0000-0000D5010000}"/>
    <cellStyle name="Вывод 5 2 7" xfId="463" xr:uid="{00000000-0005-0000-0000-0000D6010000}"/>
    <cellStyle name="Вывод 6 2" xfId="464" xr:uid="{00000000-0005-0000-0000-0000D7010000}"/>
    <cellStyle name="Вывод 6 2 2" xfId="465" xr:uid="{00000000-0005-0000-0000-0000D8010000}"/>
    <cellStyle name="Вывод 6 2 3" xfId="466" xr:uid="{00000000-0005-0000-0000-0000D9010000}"/>
    <cellStyle name="Вывод 6 2 4" xfId="467" xr:uid="{00000000-0005-0000-0000-0000DA010000}"/>
    <cellStyle name="Вывод 6 2 5" xfId="468" xr:uid="{00000000-0005-0000-0000-0000DB010000}"/>
    <cellStyle name="Вывод 6 2 6" xfId="469" xr:uid="{00000000-0005-0000-0000-0000DC010000}"/>
    <cellStyle name="Вывод 6 2 7" xfId="470" xr:uid="{00000000-0005-0000-0000-0000DD010000}"/>
    <cellStyle name="Вывод 7 2" xfId="471" xr:uid="{00000000-0005-0000-0000-0000DE010000}"/>
    <cellStyle name="Вывод 7 2 2" xfId="472" xr:uid="{00000000-0005-0000-0000-0000DF010000}"/>
    <cellStyle name="Вывод 7 2 3" xfId="473" xr:uid="{00000000-0005-0000-0000-0000E0010000}"/>
    <cellStyle name="Вывод 7 2 4" xfId="474" xr:uid="{00000000-0005-0000-0000-0000E1010000}"/>
    <cellStyle name="Вывод 7 2 5" xfId="475" xr:uid="{00000000-0005-0000-0000-0000E2010000}"/>
    <cellStyle name="Вывод 7 2 6" xfId="476" xr:uid="{00000000-0005-0000-0000-0000E3010000}"/>
    <cellStyle name="Вывод 7 2 7" xfId="477" xr:uid="{00000000-0005-0000-0000-0000E4010000}"/>
    <cellStyle name="Вывод 8 2" xfId="478" xr:uid="{00000000-0005-0000-0000-0000E5010000}"/>
    <cellStyle name="Вывод 8 2 2" xfId="479" xr:uid="{00000000-0005-0000-0000-0000E6010000}"/>
    <cellStyle name="Вывод 8 2 3" xfId="480" xr:uid="{00000000-0005-0000-0000-0000E7010000}"/>
    <cellStyle name="Вывод 8 2 4" xfId="481" xr:uid="{00000000-0005-0000-0000-0000E8010000}"/>
    <cellStyle name="Вывод 8 2 5" xfId="482" xr:uid="{00000000-0005-0000-0000-0000E9010000}"/>
    <cellStyle name="Вывод 8 2 6" xfId="483" xr:uid="{00000000-0005-0000-0000-0000EA010000}"/>
    <cellStyle name="Вывод 8 2 7" xfId="484" xr:uid="{00000000-0005-0000-0000-0000EB010000}"/>
    <cellStyle name="Вывод 9 2" xfId="485" xr:uid="{00000000-0005-0000-0000-0000EC010000}"/>
    <cellStyle name="Вывод 9 2 2" xfId="486" xr:uid="{00000000-0005-0000-0000-0000ED010000}"/>
    <cellStyle name="Вывод 9 2 3" xfId="487" xr:uid="{00000000-0005-0000-0000-0000EE010000}"/>
    <cellStyle name="Вывод 9 2 4" xfId="488" xr:uid="{00000000-0005-0000-0000-0000EF010000}"/>
    <cellStyle name="Вывод 9 2 5" xfId="489" xr:uid="{00000000-0005-0000-0000-0000F0010000}"/>
    <cellStyle name="Вывод 9 2 6" xfId="490" xr:uid="{00000000-0005-0000-0000-0000F1010000}"/>
    <cellStyle name="Вывод 9 2 7" xfId="491" xr:uid="{00000000-0005-0000-0000-0000F2010000}"/>
    <cellStyle name="Вычисление 10 2" xfId="492" xr:uid="{00000000-0005-0000-0000-0000F3010000}"/>
    <cellStyle name="Вычисление 10 2 2" xfId="493" xr:uid="{00000000-0005-0000-0000-0000F4010000}"/>
    <cellStyle name="Вычисление 10 2 3" xfId="494" xr:uid="{00000000-0005-0000-0000-0000F5010000}"/>
    <cellStyle name="Вычисление 10 2 4" xfId="495" xr:uid="{00000000-0005-0000-0000-0000F6010000}"/>
    <cellStyle name="Вычисление 10 2 5" xfId="496" xr:uid="{00000000-0005-0000-0000-0000F7010000}"/>
    <cellStyle name="Вычисление 10 2 6" xfId="497" xr:uid="{00000000-0005-0000-0000-0000F8010000}"/>
    <cellStyle name="Вычисление 10 2 7" xfId="498" xr:uid="{00000000-0005-0000-0000-0000F9010000}"/>
    <cellStyle name="Вычисление 11" xfId="499" xr:uid="{00000000-0005-0000-0000-0000FA010000}"/>
    <cellStyle name="Вычисление 11 2" xfId="500" xr:uid="{00000000-0005-0000-0000-0000FB010000}"/>
    <cellStyle name="Вычисление 11 3" xfId="501" xr:uid="{00000000-0005-0000-0000-0000FC010000}"/>
    <cellStyle name="Вычисление 11 4" xfId="502" xr:uid="{00000000-0005-0000-0000-0000FD010000}"/>
    <cellStyle name="Вычисление 11 5" xfId="503" xr:uid="{00000000-0005-0000-0000-0000FE010000}"/>
    <cellStyle name="Вычисление 11 6" xfId="504" xr:uid="{00000000-0005-0000-0000-0000FF010000}"/>
    <cellStyle name="Вычисление 11 7" xfId="505" xr:uid="{00000000-0005-0000-0000-000000020000}"/>
    <cellStyle name="Вычисление 2" xfId="506" xr:uid="{00000000-0005-0000-0000-000001020000}"/>
    <cellStyle name="Вычисление 2 2" xfId="507" xr:uid="{00000000-0005-0000-0000-000002020000}"/>
    <cellStyle name="Вычисление 2 2 2" xfId="508" xr:uid="{00000000-0005-0000-0000-000003020000}"/>
    <cellStyle name="Вычисление 2 2 3" xfId="509" xr:uid="{00000000-0005-0000-0000-000004020000}"/>
    <cellStyle name="Вычисление 2 2 4" xfId="510" xr:uid="{00000000-0005-0000-0000-000005020000}"/>
    <cellStyle name="Вычисление 2 2 5" xfId="511" xr:uid="{00000000-0005-0000-0000-000006020000}"/>
    <cellStyle name="Вычисление 2 2 6" xfId="512" xr:uid="{00000000-0005-0000-0000-000007020000}"/>
    <cellStyle name="Вычисление 2 2 7" xfId="513" xr:uid="{00000000-0005-0000-0000-000008020000}"/>
    <cellStyle name="Вычисление 2 3" xfId="514" xr:uid="{00000000-0005-0000-0000-000009020000}"/>
    <cellStyle name="Вычисление 2 4" xfId="515" xr:uid="{00000000-0005-0000-0000-00000A020000}"/>
    <cellStyle name="Вычисление 2 5" xfId="516" xr:uid="{00000000-0005-0000-0000-00000B020000}"/>
    <cellStyle name="Вычисление 2 6" xfId="517" xr:uid="{00000000-0005-0000-0000-00000C020000}"/>
    <cellStyle name="Вычисление 2 7" xfId="518" xr:uid="{00000000-0005-0000-0000-00000D020000}"/>
    <cellStyle name="Вычисление 2 8" xfId="519" xr:uid="{00000000-0005-0000-0000-00000E020000}"/>
    <cellStyle name="Вычисление 3 2" xfId="520" xr:uid="{00000000-0005-0000-0000-00000F020000}"/>
    <cellStyle name="Вычисление 3 2 2" xfId="521" xr:uid="{00000000-0005-0000-0000-000010020000}"/>
    <cellStyle name="Вычисление 3 2 3" xfId="522" xr:uid="{00000000-0005-0000-0000-000011020000}"/>
    <cellStyle name="Вычисление 3 2 4" xfId="523" xr:uid="{00000000-0005-0000-0000-000012020000}"/>
    <cellStyle name="Вычисление 3 2 5" xfId="524" xr:uid="{00000000-0005-0000-0000-000013020000}"/>
    <cellStyle name="Вычисление 3 2 6" xfId="525" xr:uid="{00000000-0005-0000-0000-000014020000}"/>
    <cellStyle name="Вычисление 3 2 7" xfId="526" xr:uid="{00000000-0005-0000-0000-000015020000}"/>
    <cellStyle name="Вычисление 4 2" xfId="527" xr:uid="{00000000-0005-0000-0000-000016020000}"/>
    <cellStyle name="Вычисление 4 2 2" xfId="528" xr:uid="{00000000-0005-0000-0000-000017020000}"/>
    <cellStyle name="Вычисление 4 2 3" xfId="529" xr:uid="{00000000-0005-0000-0000-000018020000}"/>
    <cellStyle name="Вычисление 4 2 4" xfId="530" xr:uid="{00000000-0005-0000-0000-000019020000}"/>
    <cellStyle name="Вычисление 4 2 5" xfId="531" xr:uid="{00000000-0005-0000-0000-00001A020000}"/>
    <cellStyle name="Вычисление 4 2 6" xfId="532" xr:uid="{00000000-0005-0000-0000-00001B020000}"/>
    <cellStyle name="Вычисление 4 2 7" xfId="533" xr:uid="{00000000-0005-0000-0000-00001C020000}"/>
    <cellStyle name="Вычисление 5 2" xfId="534" xr:uid="{00000000-0005-0000-0000-00001D020000}"/>
    <cellStyle name="Вычисление 5 2 2" xfId="535" xr:uid="{00000000-0005-0000-0000-00001E020000}"/>
    <cellStyle name="Вычисление 5 2 3" xfId="536" xr:uid="{00000000-0005-0000-0000-00001F020000}"/>
    <cellStyle name="Вычисление 5 2 4" xfId="537" xr:uid="{00000000-0005-0000-0000-000020020000}"/>
    <cellStyle name="Вычисление 5 2 5" xfId="538" xr:uid="{00000000-0005-0000-0000-000021020000}"/>
    <cellStyle name="Вычисление 5 2 6" xfId="539" xr:uid="{00000000-0005-0000-0000-000022020000}"/>
    <cellStyle name="Вычисление 5 2 7" xfId="540" xr:uid="{00000000-0005-0000-0000-000023020000}"/>
    <cellStyle name="Вычисление 6 2" xfId="541" xr:uid="{00000000-0005-0000-0000-000024020000}"/>
    <cellStyle name="Вычисление 6 2 2" xfId="542" xr:uid="{00000000-0005-0000-0000-000025020000}"/>
    <cellStyle name="Вычисление 6 2 3" xfId="543" xr:uid="{00000000-0005-0000-0000-000026020000}"/>
    <cellStyle name="Вычисление 6 2 4" xfId="544" xr:uid="{00000000-0005-0000-0000-000027020000}"/>
    <cellStyle name="Вычисление 6 2 5" xfId="545" xr:uid="{00000000-0005-0000-0000-000028020000}"/>
    <cellStyle name="Вычисление 6 2 6" xfId="546" xr:uid="{00000000-0005-0000-0000-000029020000}"/>
    <cellStyle name="Вычисление 6 2 7" xfId="547" xr:uid="{00000000-0005-0000-0000-00002A020000}"/>
    <cellStyle name="Вычисление 7 2" xfId="548" xr:uid="{00000000-0005-0000-0000-00002B020000}"/>
    <cellStyle name="Вычисление 7 2 2" xfId="549" xr:uid="{00000000-0005-0000-0000-00002C020000}"/>
    <cellStyle name="Вычисление 7 2 3" xfId="550" xr:uid="{00000000-0005-0000-0000-00002D020000}"/>
    <cellStyle name="Вычисление 7 2 4" xfId="551" xr:uid="{00000000-0005-0000-0000-00002E020000}"/>
    <cellStyle name="Вычисление 7 2 5" xfId="552" xr:uid="{00000000-0005-0000-0000-00002F020000}"/>
    <cellStyle name="Вычисление 7 2 6" xfId="553" xr:uid="{00000000-0005-0000-0000-000030020000}"/>
    <cellStyle name="Вычисление 7 2 7" xfId="554" xr:uid="{00000000-0005-0000-0000-000031020000}"/>
    <cellStyle name="Вычисление 8 2" xfId="555" xr:uid="{00000000-0005-0000-0000-000032020000}"/>
    <cellStyle name="Вычисление 8 2 2" xfId="556" xr:uid="{00000000-0005-0000-0000-000033020000}"/>
    <cellStyle name="Вычисление 8 2 3" xfId="557" xr:uid="{00000000-0005-0000-0000-000034020000}"/>
    <cellStyle name="Вычисление 8 2 4" xfId="558" xr:uid="{00000000-0005-0000-0000-000035020000}"/>
    <cellStyle name="Вычисление 8 2 5" xfId="559" xr:uid="{00000000-0005-0000-0000-000036020000}"/>
    <cellStyle name="Вычисление 8 2 6" xfId="560" xr:uid="{00000000-0005-0000-0000-000037020000}"/>
    <cellStyle name="Вычисление 8 2 7" xfId="561" xr:uid="{00000000-0005-0000-0000-000038020000}"/>
    <cellStyle name="Вычисление 9 2" xfId="562" xr:uid="{00000000-0005-0000-0000-000039020000}"/>
    <cellStyle name="Вычисление 9 2 2" xfId="563" xr:uid="{00000000-0005-0000-0000-00003A020000}"/>
    <cellStyle name="Вычисление 9 2 3" xfId="564" xr:uid="{00000000-0005-0000-0000-00003B020000}"/>
    <cellStyle name="Вычисление 9 2 4" xfId="565" xr:uid="{00000000-0005-0000-0000-00003C020000}"/>
    <cellStyle name="Вычисление 9 2 5" xfId="566" xr:uid="{00000000-0005-0000-0000-00003D020000}"/>
    <cellStyle name="Вычисление 9 2 6" xfId="567" xr:uid="{00000000-0005-0000-0000-00003E020000}"/>
    <cellStyle name="Вычисление 9 2 7" xfId="568" xr:uid="{00000000-0005-0000-0000-00003F020000}"/>
    <cellStyle name="Денежный 2" xfId="569" xr:uid="{00000000-0005-0000-0000-000040020000}"/>
    <cellStyle name="Денежный 2 2" xfId="570" xr:uid="{00000000-0005-0000-0000-000041020000}"/>
    <cellStyle name="Денежный 2 3" xfId="571" xr:uid="{00000000-0005-0000-0000-000042020000}"/>
    <cellStyle name="Денежный 2 4" xfId="572" xr:uid="{00000000-0005-0000-0000-000043020000}"/>
    <cellStyle name="Денежный 2 5" xfId="573" xr:uid="{00000000-0005-0000-0000-000044020000}"/>
    <cellStyle name="Денежный 2 6" xfId="574" xr:uid="{00000000-0005-0000-0000-000045020000}"/>
    <cellStyle name="Денежный 3" xfId="575" xr:uid="{00000000-0005-0000-0000-000046020000}"/>
    <cellStyle name="заголовок" xfId="576" xr:uid="{00000000-0005-0000-0000-000047020000}"/>
    <cellStyle name="Заголовок 1 10 2" xfId="577" xr:uid="{00000000-0005-0000-0000-000048020000}"/>
    <cellStyle name="Заголовок 1 11" xfId="578" xr:uid="{00000000-0005-0000-0000-000049020000}"/>
    <cellStyle name="Заголовок 1 2" xfId="579" xr:uid="{00000000-0005-0000-0000-00004A020000}"/>
    <cellStyle name="Заголовок 1 2 2" xfId="580" xr:uid="{00000000-0005-0000-0000-00004B020000}"/>
    <cellStyle name="Заголовок 1 3 2" xfId="581" xr:uid="{00000000-0005-0000-0000-00004C020000}"/>
    <cellStyle name="Заголовок 1 4 2" xfId="582" xr:uid="{00000000-0005-0000-0000-00004D020000}"/>
    <cellStyle name="Заголовок 1 5 2" xfId="583" xr:uid="{00000000-0005-0000-0000-00004E020000}"/>
    <cellStyle name="Заголовок 1 6 2" xfId="584" xr:uid="{00000000-0005-0000-0000-00004F020000}"/>
    <cellStyle name="Заголовок 1 7 2" xfId="585" xr:uid="{00000000-0005-0000-0000-000050020000}"/>
    <cellStyle name="Заголовок 1 8 2" xfId="586" xr:uid="{00000000-0005-0000-0000-000051020000}"/>
    <cellStyle name="Заголовок 1 9 2" xfId="587" xr:uid="{00000000-0005-0000-0000-000052020000}"/>
    <cellStyle name="Заголовок 2 10 2" xfId="588" xr:uid="{00000000-0005-0000-0000-000053020000}"/>
    <cellStyle name="Заголовок 2 11" xfId="589" xr:uid="{00000000-0005-0000-0000-000054020000}"/>
    <cellStyle name="Заголовок 2 2" xfId="590" xr:uid="{00000000-0005-0000-0000-000055020000}"/>
    <cellStyle name="Заголовок 2 2 2" xfId="591" xr:uid="{00000000-0005-0000-0000-000056020000}"/>
    <cellStyle name="Заголовок 2 3 2" xfId="592" xr:uid="{00000000-0005-0000-0000-000057020000}"/>
    <cellStyle name="Заголовок 2 4 2" xfId="593" xr:uid="{00000000-0005-0000-0000-000058020000}"/>
    <cellStyle name="Заголовок 2 5 2" xfId="594" xr:uid="{00000000-0005-0000-0000-000059020000}"/>
    <cellStyle name="Заголовок 2 6 2" xfId="595" xr:uid="{00000000-0005-0000-0000-00005A020000}"/>
    <cellStyle name="Заголовок 2 7 2" xfId="596" xr:uid="{00000000-0005-0000-0000-00005B020000}"/>
    <cellStyle name="Заголовок 2 8 2" xfId="597" xr:uid="{00000000-0005-0000-0000-00005C020000}"/>
    <cellStyle name="Заголовок 2 9 2" xfId="598" xr:uid="{00000000-0005-0000-0000-00005D020000}"/>
    <cellStyle name="Заголовок 3 10 2" xfId="599" xr:uid="{00000000-0005-0000-0000-00005E020000}"/>
    <cellStyle name="Заголовок 3 11" xfId="600" xr:uid="{00000000-0005-0000-0000-00005F020000}"/>
    <cellStyle name="Заголовок 3 2" xfId="601" xr:uid="{00000000-0005-0000-0000-000060020000}"/>
    <cellStyle name="Заголовок 3 2 2" xfId="602" xr:uid="{00000000-0005-0000-0000-000061020000}"/>
    <cellStyle name="Заголовок 3 3 2" xfId="603" xr:uid="{00000000-0005-0000-0000-000062020000}"/>
    <cellStyle name="Заголовок 3 4 2" xfId="604" xr:uid="{00000000-0005-0000-0000-000063020000}"/>
    <cellStyle name="Заголовок 3 5 2" xfId="605" xr:uid="{00000000-0005-0000-0000-000064020000}"/>
    <cellStyle name="Заголовок 3 6 2" xfId="606" xr:uid="{00000000-0005-0000-0000-000065020000}"/>
    <cellStyle name="Заголовок 3 7 2" xfId="607" xr:uid="{00000000-0005-0000-0000-000066020000}"/>
    <cellStyle name="Заголовок 3 8 2" xfId="608" xr:uid="{00000000-0005-0000-0000-000067020000}"/>
    <cellStyle name="Заголовок 3 9 2" xfId="609" xr:uid="{00000000-0005-0000-0000-000068020000}"/>
    <cellStyle name="Заголовок 4 10 2" xfId="610" xr:uid="{00000000-0005-0000-0000-000069020000}"/>
    <cellStyle name="Заголовок 4 11" xfId="611" xr:uid="{00000000-0005-0000-0000-00006A020000}"/>
    <cellStyle name="Заголовок 4 2" xfId="612" xr:uid="{00000000-0005-0000-0000-00006B020000}"/>
    <cellStyle name="Заголовок 4 2 2" xfId="613" xr:uid="{00000000-0005-0000-0000-00006C020000}"/>
    <cellStyle name="Заголовок 4 3 2" xfId="614" xr:uid="{00000000-0005-0000-0000-00006D020000}"/>
    <cellStyle name="Заголовок 4 4 2" xfId="615" xr:uid="{00000000-0005-0000-0000-00006E020000}"/>
    <cellStyle name="Заголовок 4 5 2" xfId="616" xr:uid="{00000000-0005-0000-0000-00006F020000}"/>
    <cellStyle name="Заголовок 4 6 2" xfId="617" xr:uid="{00000000-0005-0000-0000-000070020000}"/>
    <cellStyle name="Заголовок 4 7 2" xfId="618" xr:uid="{00000000-0005-0000-0000-000071020000}"/>
    <cellStyle name="Заголовок 4 8 2" xfId="619" xr:uid="{00000000-0005-0000-0000-000072020000}"/>
    <cellStyle name="Заголовок 4 9 2" xfId="620" xr:uid="{00000000-0005-0000-0000-000073020000}"/>
    <cellStyle name="Индексы" xfId="621" xr:uid="{00000000-0005-0000-0000-000074020000}"/>
    <cellStyle name="Итог 10 2" xfId="622" xr:uid="{00000000-0005-0000-0000-000075020000}"/>
    <cellStyle name="Итог 10 2 2" xfId="623" xr:uid="{00000000-0005-0000-0000-000076020000}"/>
    <cellStyle name="Итог 10 2 3" xfId="624" xr:uid="{00000000-0005-0000-0000-000077020000}"/>
    <cellStyle name="Итог 10 2 4" xfId="625" xr:uid="{00000000-0005-0000-0000-000078020000}"/>
    <cellStyle name="Итог 10 2 5" xfId="626" xr:uid="{00000000-0005-0000-0000-000079020000}"/>
    <cellStyle name="Итог 10 2 6" xfId="627" xr:uid="{00000000-0005-0000-0000-00007A020000}"/>
    <cellStyle name="Итог 10 2 7" xfId="628" xr:uid="{00000000-0005-0000-0000-00007B020000}"/>
    <cellStyle name="Итог 11" xfId="629" xr:uid="{00000000-0005-0000-0000-00007C020000}"/>
    <cellStyle name="Итог 11 2" xfId="630" xr:uid="{00000000-0005-0000-0000-00007D020000}"/>
    <cellStyle name="Итог 11 3" xfId="631" xr:uid="{00000000-0005-0000-0000-00007E020000}"/>
    <cellStyle name="Итог 11 4" xfId="632" xr:uid="{00000000-0005-0000-0000-00007F020000}"/>
    <cellStyle name="Итог 11 5" xfId="633" xr:uid="{00000000-0005-0000-0000-000080020000}"/>
    <cellStyle name="Итог 11 6" xfId="634" xr:uid="{00000000-0005-0000-0000-000081020000}"/>
    <cellStyle name="Итог 11 7" xfId="635" xr:uid="{00000000-0005-0000-0000-000082020000}"/>
    <cellStyle name="Итог 2" xfId="636" xr:uid="{00000000-0005-0000-0000-000083020000}"/>
    <cellStyle name="Итог 2 2" xfId="637" xr:uid="{00000000-0005-0000-0000-000084020000}"/>
    <cellStyle name="Итог 2 2 2" xfId="638" xr:uid="{00000000-0005-0000-0000-000085020000}"/>
    <cellStyle name="Итог 2 2 3" xfId="639" xr:uid="{00000000-0005-0000-0000-000086020000}"/>
    <cellStyle name="Итог 2 2 4" xfId="640" xr:uid="{00000000-0005-0000-0000-000087020000}"/>
    <cellStyle name="Итог 2 2 5" xfId="641" xr:uid="{00000000-0005-0000-0000-000088020000}"/>
    <cellStyle name="Итог 2 2 6" xfId="642" xr:uid="{00000000-0005-0000-0000-000089020000}"/>
    <cellStyle name="Итог 2 2 7" xfId="643" xr:uid="{00000000-0005-0000-0000-00008A020000}"/>
    <cellStyle name="Итог 2 3" xfId="644" xr:uid="{00000000-0005-0000-0000-00008B020000}"/>
    <cellStyle name="Итог 2 4" xfId="645" xr:uid="{00000000-0005-0000-0000-00008C020000}"/>
    <cellStyle name="Итог 2 5" xfId="646" xr:uid="{00000000-0005-0000-0000-00008D020000}"/>
    <cellStyle name="Итог 2 6" xfId="647" xr:uid="{00000000-0005-0000-0000-00008E020000}"/>
    <cellStyle name="Итог 2 7" xfId="648" xr:uid="{00000000-0005-0000-0000-00008F020000}"/>
    <cellStyle name="Итог 2 8" xfId="649" xr:uid="{00000000-0005-0000-0000-000090020000}"/>
    <cellStyle name="Итог 3 2" xfId="650" xr:uid="{00000000-0005-0000-0000-000091020000}"/>
    <cellStyle name="Итог 3 2 2" xfId="651" xr:uid="{00000000-0005-0000-0000-000092020000}"/>
    <cellStyle name="Итог 3 2 3" xfId="652" xr:uid="{00000000-0005-0000-0000-000093020000}"/>
    <cellStyle name="Итог 3 2 4" xfId="653" xr:uid="{00000000-0005-0000-0000-000094020000}"/>
    <cellStyle name="Итог 3 2 5" xfId="654" xr:uid="{00000000-0005-0000-0000-000095020000}"/>
    <cellStyle name="Итог 3 2 6" xfId="655" xr:uid="{00000000-0005-0000-0000-000096020000}"/>
    <cellStyle name="Итог 3 2 7" xfId="656" xr:uid="{00000000-0005-0000-0000-000097020000}"/>
    <cellStyle name="Итог 4 2" xfId="657" xr:uid="{00000000-0005-0000-0000-000098020000}"/>
    <cellStyle name="Итог 4 2 2" xfId="658" xr:uid="{00000000-0005-0000-0000-000099020000}"/>
    <cellStyle name="Итог 4 2 3" xfId="659" xr:uid="{00000000-0005-0000-0000-00009A020000}"/>
    <cellStyle name="Итог 4 2 4" xfId="660" xr:uid="{00000000-0005-0000-0000-00009B020000}"/>
    <cellStyle name="Итог 4 2 5" xfId="661" xr:uid="{00000000-0005-0000-0000-00009C020000}"/>
    <cellStyle name="Итог 4 2 6" xfId="662" xr:uid="{00000000-0005-0000-0000-00009D020000}"/>
    <cellStyle name="Итог 4 2 7" xfId="663" xr:uid="{00000000-0005-0000-0000-00009E020000}"/>
    <cellStyle name="Итог 5 2" xfId="664" xr:uid="{00000000-0005-0000-0000-00009F020000}"/>
    <cellStyle name="Итог 5 2 2" xfId="665" xr:uid="{00000000-0005-0000-0000-0000A0020000}"/>
    <cellStyle name="Итог 5 2 3" xfId="666" xr:uid="{00000000-0005-0000-0000-0000A1020000}"/>
    <cellStyle name="Итог 5 2 4" xfId="667" xr:uid="{00000000-0005-0000-0000-0000A2020000}"/>
    <cellStyle name="Итог 5 2 5" xfId="668" xr:uid="{00000000-0005-0000-0000-0000A3020000}"/>
    <cellStyle name="Итог 5 2 6" xfId="669" xr:uid="{00000000-0005-0000-0000-0000A4020000}"/>
    <cellStyle name="Итог 5 2 7" xfId="670" xr:uid="{00000000-0005-0000-0000-0000A5020000}"/>
    <cellStyle name="Итог 6 2" xfId="671" xr:uid="{00000000-0005-0000-0000-0000A6020000}"/>
    <cellStyle name="Итог 6 2 2" xfId="672" xr:uid="{00000000-0005-0000-0000-0000A7020000}"/>
    <cellStyle name="Итог 6 2 3" xfId="673" xr:uid="{00000000-0005-0000-0000-0000A8020000}"/>
    <cellStyle name="Итог 6 2 4" xfId="674" xr:uid="{00000000-0005-0000-0000-0000A9020000}"/>
    <cellStyle name="Итог 6 2 5" xfId="675" xr:uid="{00000000-0005-0000-0000-0000AA020000}"/>
    <cellStyle name="Итог 6 2 6" xfId="676" xr:uid="{00000000-0005-0000-0000-0000AB020000}"/>
    <cellStyle name="Итог 6 2 7" xfId="677" xr:uid="{00000000-0005-0000-0000-0000AC020000}"/>
    <cellStyle name="Итог 7 2" xfId="678" xr:uid="{00000000-0005-0000-0000-0000AD020000}"/>
    <cellStyle name="Итог 7 2 2" xfId="679" xr:uid="{00000000-0005-0000-0000-0000AE020000}"/>
    <cellStyle name="Итог 7 2 3" xfId="680" xr:uid="{00000000-0005-0000-0000-0000AF020000}"/>
    <cellStyle name="Итог 7 2 4" xfId="681" xr:uid="{00000000-0005-0000-0000-0000B0020000}"/>
    <cellStyle name="Итог 7 2 5" xfId="682" xr:uid="{00000000-0005-0000-0000-0000B1020000}"/>
    <cellStyle name="Итог 7 2 6" xfId="683" xr:uid="{00000000-0005-0000-0000-0000B2020000}"/>
    <cellStyle name="Итог 7 2 7" xfId="684" xr:uid="{00000000-0005-0000-0000-0000B3020000}"/>
    <cellStyle name="Итог 8 2" xfId="685" xr:uid="{00000000-0005-0000-0000-0000B4020000}"/>
    <cellStyle name="Итог 8 2 2" xfId="686" xr:uid="{00000000-0005-0000-0000-0000B5020000}"/>
    <cellStyle name="Итог 8 2 3" xfId="687" xr:uid="{00000000-0005-0000-0000-0000B6020000}"/>
    <cellStyle name="Итог 8 2 4" xfId="688" xr:uid="{00000000-0005-0000-0000-0000B7020000}"/>
    <cellStyle name="Итог 8 2 5" xfId="689" xr:uid="{00000000-0005-0000-0000-0000B8020000}"/>
    <cellStyle name="Итог 8 2 6" xfId="690" xr:uid="{00000000-0005-0000-0000-0000B9020000}"/>
    <cellStyle name="Итог 8 2 7" xfId="691" xr:uid="{00000000-0005-0000-0000-0000BA020000}"/>
    <cellStyle name="Итог 9 2" xfId="692" xr:uid="{00000000-0005-0000-0000-0000BB020000}"/>
    <cellStyle name="Итог 9 2 2" xfId="693" xr:uid="{00000000-0005-0000-0000-0000BC020000}"/>
    <cellStyle name="Итог 9 2 3" xfId="694" xr:uid="{00000000-0005-0000-0000-0000BD020000}"/>
    <cellStyle name="Итог 9 2 4" xfId="695" xr:uid="{00000000-0005-0000-0000-0000BE020000}"/>
    <cellStyle name="Итог 9 2 5" xfId="696" xr:uid="{00000000-0005-0000-0000-0000BF020000}"/>
    <cellStyle name="Итог 9 2 6" xfId="697" xr:uid="{00000000-0005-0000-0000-0000C0020000}"/>
    <cellStyle name="Итог 9 2 7" xfId="698" xr:uid="{00000000-0005-0000-0000-0000C1020000}"/>
    <cellStyle name="Итоги" xfId="699" xr:uid="{00000000-0005-0000-0000-0000C2020000}"/>
    <cellStyle name="ИтогоАктБазЦ" xfId="700" xr:uid="{00000000-0005-0000-0000-0000C3020000}"/>
    <cellStyle name="ИтогоАктБИМ" xfId="701" xr:uid="{00000000-0005-0000-0000-0000C4020000}"/>
    <cellStyle name="ИтогоАктРесМет" xfId="702" xr:uid="{00000000-0005-0000-0000-0000C5020000}"/>
    <cellStyle name="ИтогоБазЦ" xfId="703" xr:uid="{00000000-0005-0000-0000-0000C6020000}"/>
    <cellStyle name="ИтогоБИМ" xfId="704" xr:uid="{00000000-0005-0000-0000-0000C7020000}"/>
    <cellStyle name="ИтогоРесМет" xfId="705" xr:uid="{00000000-0005-0000-0000-0000C8020000}"/>
    <cellStyle name="Контрольная ячейка 10 2" xfId="706" xr:uid="{00000000-0005-0000-0000-0000C9020000}"/>
    <cellStyle name="Контрольная ячейка 11" xfId="707" xr:uid="{00000000-0005-0000-0000-0000CA020000}"/>
    <cellStyle name="Контрольная ячейка 2" xfId="708" xr:uid="{00000000-0005-0000-0000-0000CB020000}"/>
    <cellStyle name="Контрольная ячейка 2 2" xfId="709" xr:uid="{00000000-0005-0000-0000-0000CC020000}"/>
    <cellStyle name="Контрольная ячейка 3 2" xfId="710" xr:uid="{00000000-0005-0000-0000-0000CD020000}"/>
    <cellStyle name="Контрольная ячейка 4 2" xfId="711" xr:uid="{00000000-0005-0000-0000-0000CE020000}"/>
    <cellStyle name="Контрольная ячейка 5 2" xfId="712" xr:uid="{00000000-0005-0000-0000-0000CF020000}"/>
    <cellStyle name="Контрольная ячейка 6 2" xfId="713" xr:uid="{00000000-0005-0000-0000-0000D0020000}"/>
    <cellStyle name="Контрольная ячейка 7 2" xfId="714" xr:uid="{00000000-0005-0000-0000-0000D1020000}"/>
    <cellStyle name="Контрольная ячейка 8 2" xfId="715" xr:uid="{00000000-0005-0000-0000-0000D2020000}"/>
    <cellStyle name="Контрольная ячейка 9 2" xfId="716" xr:uid="{00000000-0005-0000-0000-0000D3020000}"/>
    <cellStyle name="ЛокСмета" xfId="717" xr:uid="{00000000-0005-0000-0000-0000D4020000}"/>
    <cellStyle name="ЛокСмета 2" xfId="718" xr:uid="{00000000-0005-0000-0000-0000D5020000}"/>
    <cellStyle name="ЛокСмета 2 2" xfId="1629" xr:uid="{00000000-0005-0000-0000-0000D6020000}"/>
    <cellStyle name="ЛокСмета 3" xfId="1628" xr:uid="{00000000-0005-0000-0000-0000D7020000}"/>
    <cellStyle name="ЛокСмМТСН" xfId="719" xr:uid="{00000000-0005-0000-0000-0000D8020000}"/>
    <cellStyle name="М29" xfId="720" xr:uid="{00000000-0005-0000-0000-0000D9020000}"/>
    <cellStyle name="Название 10 2" xfId="721" xr:uid="{00000000-0005-0000-0000-0000DA020000}"/>
    <cellStyle name="Название 11" xfId="722" xr:uid="{00000000-0005-0000-0000-0000DB020000}"/>
    <cellStyle name="Название 2" xfId="723" xr:uid="{00000000-0005-0000-0000-0000DC020000}"/>
    <cellStyle name="Название 2 2" xfId="724" xr:uid="{00000000-0005-0000-0000-0000DD020000}"/>
    <cellStyle name="Название 3 2" xfId="725" xr:uid="{00000000-0005-0000-0000-0000DE020000}"/>
    <cellStyle name="Название 4 2" xfId="726" xr:uid="{00000000-0005-0000-0000-0000DF020000}"/>
    <cellStyle name="Название 5 2" xfId="727" xr:uid="{00000000-0005-0000-0000-0000E0020000}"/>
    <cellStyle name="Название 6 2" xfId="728" xr:uid="{00000000-0005-0000-0000-0000E1020000}"/>
    <cellStyle name="Название 7 2" xfId="729" xr:uid="{00000000-0005-0000-0000-0000E2020000}"/>
    <cellStyle name="Название 8 2" xfId="730" xr:uid="{00000000-0005-0000-0000-0000E3020000}"/>
    <cellStyle name="Название 9 2" xfId="731" xr:uid="{00000000-0005-0000-0000-0000E4020000}"/>
    <cellStyle name="Нейтральный 10 2" xfId="732" xr:uid="{00000000-0005-0000-0000-0000E5020000}"/>
    <cellStyle name="Нейтральный 11" xfId="733" xr:uid="{00000000-0005-0000-0000-0000E6020000}"/>
    <cellStyle name="Нейтральный 2" xfId="734" xr:uid="{00000000-0005-0000-0000-0000E7020000}"/>
    <cellStyle name="Нейтральный 2 2" xfId="735" xr:uid="{00000000-0005-0000-0000-0000E8020000}"/>
    <cellStyle name="Нейтральный 3 2" xfId="736" xr:uid="{00000000-0005-0000-0000-0000E9020000}"/>
    <cellStyle name="Нейтральный 4 2" xfId="737" xr:uid="{00000000-0005-0000-0000-0000EA020000}"/>
    <cellStyle name="Нейтральный 5 2" xfId="738" xr:uid="{00000000-0005-0000-0000-0000EB020000}"/>
    <cellStyle name="Нейтральный 6 2" xfId="739" xr:uid="{00000000-0005-0000-0000-0000EC020000}"/>
    <cellStyle name="Нейтральный 7 2" xfId="740" xr:uid="{00000000-0005-0000-0000-0000ED020000}"/>
    <cellStyle name="Нейтральный 8 2" xfId="741" xr:uid="{00000000-0005-0000-0000-0000EE020000}"/>
    <cellStyle name="Нейтральный 9 2" xfId="742" xr:uid="{00000000-0005-0000-0000-0000EF020000}"/>
    <cellStyle name="ОбСмета" xfId="743" xr:uid="{00000000-0005-0000-0000-0000F0020000}"/>
    <cellStyle name="Обычный" xfId="0" builtinId="0"/>
    <cellStyle name="Обычный 10" xfId="744" xr:uid="{00000000-0005-0000-0000-0000F2020000}"/>
    <cellStyle name="Обычный 10 2" xfId="745" xr:uid="{00000000-0005-0000-0000-0000F3020000}"/>
    <cellStyle name="Обычный 10 2 2" xfId="746" xr:uid="{00000000-0005-0000-0000-0000F4020000}"/>
    <cellStyle name="Обычный 10 2 3" xfId="747" xr:uid="{00000000-0005-0000-0000-0000F5020000}"/>
    <cellStyle name="Обычный 10 3" xfId="748" xr:uid="{00000000-0005-0000-0000-0000F6020000}"/>
    <cellStyle name="Обычный 10 3 7" xfId="749" xr:uid="{00000000-0005-0000-0000-0000F7020000}"/>
    <cellStyle name="Обычный 10 3 7 2" xfId="750" xr:uid="{00000000-0005-0000-0000-0000F8020000}"/>
    <cellStyle name="Обычный 10 3 7 2 2" xfId="751" xr:uid="{00000000-0005-0000-0000-0000F9020000}"/>
    <cellStyle name="Обычный 10 3 7 2 2 2" xfId="752" xr:uid="{00000000-0005-0000-0000-0000FA020000}"/>
    <cellStyle name="Обычный 10 4" xfId="753" xr:uid="{00000000-0005-0000-0000-0000FB020000}"/>
    <cellStyle name="Обычный 10 5" xfId="754" xr:uid="{00000000-0005-0000-0000-0000FC020000}"/>
    <cellStyle name="Обычный 10 6" xfId="755" xr:uid="{00000000-0005-0000-0000-0000FD020000}"/>
    <cellStyle name="Обычный 100" xfId="756" xr:uid="{00000000-0005-0000-0000-0000FE020000}"/>
    <cellStyle name="Обычный 100 2" xfId="757" xr:uid="{00000000-0005-0000-0000-0000FF020000}"/>
    <cellStyle name="Обычный 101" xfId="758" xr:uid="{00000000-0005-0000-0000-000000030000}"/>
    <cellStyle name="Обычный 102" xfId="759" xr:uid="{00000000-0005-0000-0000-000001030000}"/>
    <cellStyle name="Обычный 103" xfId="760" xr:uid="{00000000-0005-0000-0000-000002030000}"/>
    <cellStyle name="Обычный 103 2" xfId="761" xr:uid="{00000000-0005-0000-0000-000003030000}"/>
    <cellStyle name="Обычный 104" xfId="762" xr:uid="{00000000-0005-0000-0000-000004030000}"/>
    <cellStyle name="Обычный 105" xfId="763" xr:uid="{00000000-0005-0000-0000-000005030000}"/>
    <cellStyle name="Обычный 105 3" xfId="764" xr:uid="{00000000-0005-0000-0000-000006030000}"/>
    <cellStyle name="Обычный 106" xfId="765" xr:uid="{00000000-0005-0000-0000-000007030000}"/>
    <cellStyle name="Обычный 107" xfId="766" xr:uid="{00000000-0005-0000-0000-000008030000}"/>
    <cellStyle name="Обычный 108" xfId="767" xr:uid="{00000000-0005-0000-0000-000009030000}"/>
    <cellStyle name="Обычный 109" xfId="4" xr:uid="{00000000-0005-0000-0000-00000A030000}"/>
    <cellStyle name="Обычный 11" xfId="768" xr:uid="{00000000-0005-0000-0000-00000B030000}"/>
    <cellStyle name="Обычный 11 10" xfId="769" xr:uid="{00000000-0005-0000-0000-00000C030000}"/>
    <cellStyle name="Обычный 11 11" xfId="770" xr:uid="{00000000-0005-0000-0000-00000D030000}"/>
    <cellStyle name="Обычный 11 12" xfId="771" xr:uid="{00000000-0005-0000-0000-00000E030000}"/>
    <cellStyle name="Обычный 11 13" xfId="772" xr:uid="{00000000-0005-0000-0000-00000F030000}"/>
    <cellStyle name="Обычный 11 14" xfId="773" xr:uid="{00000000-0005-0000-0000-000010030000}"/>
    <cellStyle name="Обычный 11 2" xfId="774" xr:uid="{00000000-0005-0000-0000-000011030000}"/>
    <cellStyle name="Обычный 11 2 2" xfId="775" xr:uid="{00000000-0005-0000-0000-000012030000}"/>
    <cellStyle name="Обычный 11 2 2 2" xfId="776" xr:uid="{00000000-0005-0000-0000-000013030000}"/>
    <cellStyle name="Обычный 11 2 3" xfId="777" xr:uid="{00000000-0005-0000-0000-000014030000}"/>
    <cellStyle name="Обычный 11 2_Выполнение МАЙ КС-02-образец" xfId="778" xr:uid="{00000000-0005-0000-0000-000015030000}"/>
    <cellStyle name="Обычный 11 3" xfId="779" xr:uid="{00000000-0005-0000-0000-000016030000}"/>
    <cellStyle name="Обычный 11 3 2" xfId="780" xr:uid="{00000000-0005-0000-0000-000017030000}"/>
    <cellStyle name="Обычный 11 4" xfId="781" xr:uid="{00000000-0005-0000-0000-000018030000}"/>
    <cellStyle name="Обычный 11 4 2" xfId="782" xr:uid="{00000000-0005-0000-0000-000019030000}"/>
    <cellStyle name="Обычный 11 5" xfId="783" xr:uid="{00000000-0005-0000-0000-00001A030000}"/>
    <cellStyle name="Обычный 11 5 2" xfId="784" xr:uid="{00000000-0005-0000-0000-00001B030000}"/>
    <cellStyle name="Обычный 11 6" xfId="785" xr:uid="{00000000-0005-0000-0000-00001C030000}"/>
    <cellStyle name="Обычный 11 7" xfId="786" xr:uid="{00000000-0005-0000-0000-00001D030000}"/>
    <cellStyle name="Обычный 11 8" xfId="787" xr:uid="{00000000-0005-0000-0000-00001E030000}"/>
    <cellStyle name="Обычный 11 9" xfId="788" xr:uid="{00000000-0005-0000-0000-00001F030000}"/>
    <cellStyle name="Обычный 12" xfId="789" xr:uid="{00000000-0005-0000-0000-000020030000}"/>
    <cellStyle name="Обычный 12 2" xfId="790" xr:uid="{00000000-0005-0000-0000-000021030000}"/>
    <cellStyle name="Обычный 12 2 2" xfId="791" xr:uid="{00000000-0005-0000-0000-000022030000}"/>
    <cellStyle name="Обычный 12 3" xfId="792" xr:uid="{00000000-0005-0000-0000-000023030000}"/>
    <cellStyle name="Обычный 12 3 2" xfId="793" xr:uid="{00000000-0005-0000-0000-000024030000}"/>
    <cellStyle name="Обычный 12 4" xfId="794" xr:uid="{00000000-0005-0000-0000-000025030000}"/>
    <cellStyle name="Обычный 13" xfId="795" xr:uid="{00000000-0005-0000-0000-000026030000}"/>
    <cellStyle name="Обычный 13 2" xfId="796" xr:uid="{00000000-0005-0000-0000-000027030000}"/>
    <cellStyle name="Обычный 13 2 2" xfId="797" xr:uid="{00000000-0005-0000-0000-000028030000}"/>
    <cellStyle name="Обычный 13 2 3" xfId="798" xr:uid="{00000000-0005-0000-0000-000029030000}"/>
    <cellStyle name="Обычный 13 3" xfId="799" xr:uid="{00000000-0005-0000-0000-00002A030000}"/>
    <cellStyle name="Обычный 13 3 2" xfId="800" xr:uid="{00000000-0005-0000-0000-00002B030000}"/>
    <cellStyle name="Обычный 13 4" xfId="801" xr:uid="{00000000-0005-0000-0000-00002C030000}"/>
    <cellStyle name="Обычный 14" xfId="802" xr:uid="{00000000-0005-0000-0000-00002D030000}"/>
    <cellStyle name="Обычный 14 2" xfId="803" xr:uid="{00000000-0005-0000-0000-00002E030000}"/>
    <cellStyle name="Обычный 14 2 2" xfId="804" xr:uid="{00000000-0005-0000-0000-00002F030000}"/>
    <cellStyle name="Обычный 14 3" xfId="805" xr:uid="{00000000-0005-0000-0000-000030030000}"/>
    <cellStyle name="Обычный 14 3 2" xfId="806" xr:uid="{00000000-0005-0000-0000-000031030000}"/>
    <cellStyle name="Обычный 14 3 2 2" xfId="807" xr:uid="{00000000-0005-0000-0000-000032030000}"/>
    <cellStyle name="Обычный 14 3 2 2 2" xfId="808" xr:uid="{00000000-0005-0000-0000-000033030000}"/>
    <cellStyle name="Обычный 15" xfId="809" xr:uid="{00000000-0005-0000-0000-000034030000}"/>
    <cellStyle name="Обычный 15 2" xfId="810" xr:uid="{00000000-0005-0000-0000-000035030000}"/>
    <cellStyle name="Обычный 16" xfId="811" xr:uid="{00000000-0005-0000-0000-000036030000}"/>
    <cellStyle name="Обычный 16 2" xfId="812" xr:uid="{00000000-0005-0000-0000-000037030000}"/>
    <cellStyle name="Обычный 16 3" xfId="813" xr:uid="{00000000-0005-0000-0000-000038030000}"/>
    <cellStyle name="Обычный 17" xfId="814" xr:uid="{00000000-0005-0000-0000-000039030000}"/>
    <cellStyle name="Обычный 17 2" xfId="815" xr:uid="{00000000-0005-0000-0000-00003A030000}"/>
    <cellStyle name="Обычный 18" xfId="816" xr:uid="{00000000-0005-0000-0000-00003B030000}"/>
    <cellStyle name="Обычный 18 2" xfId="817" xr:uid="{00000000-0005-0000-0000-00003C030000}"/>
    <cellStyle name="Обычный 18 3" xfId="818" xr:uid="{00000000-0005-0000-0000-00003D030000}"/>
    <cellStyle name="Обычный 19" xfId="819" xr:uid="{00000000-0005-0000-0000-00003E030000}"/>
    <cellStyle name="Обычный 19 2" xfId="820" xr:uid="{00000000-0005-0000-0000-00003F030000}"/>
    <cellStyle name="Обычный 2" xfId="821" xr:uid="{00000000-0005-0000-0000-000040030000}"/>
    <cellStyle name="Обычный 2 10" xfId="822" xr:uid="{00000000-0005-0000-0000-000041030000}"/>
    <cellStyle name="Обычный 2 10 2" xfId="823" xr:uid="{00000000-0005-0000-0000-000042030000}"/>
    <cellStyle name="Обычный 2 11" xfId="824" xr:uid="{00000000-0005-0000-0000-000043030000}"/>
    <cellStyle name="Обычный 2 11 2" xfId="825" xr:uid="{00000000-0005-0000-0000-000044030000}"/>
    <cellStyle name="Обычный 2 12" xfId="826" xr:uid="{00000000-0005-0000-0000-000045030000}"/>
    <cellStyle name="Обычный 2 13" xfId="827" xr:uid="{00000000-0005-0000-0000-000046030000}"/>
    <cellStyle name="Обычный 2 13 2" xfId="828" xr:uid="{00000000-0005-0000-0000-000047030000}"/>
    <cellStyle name="Обычный 2 14" xfId="829" xr:uid="{00000000-0005-0000-0000-000048030000}"/>
    <cellStyle name="Обычный 2 15" xfId="830" xr:uid="{00000000-0005-0000-0000-000049030000}"/>
    <cellStyle name="Обычный 2 16" xfId="831" xr:uid="{00000000-0005-0000-0000-00004A030000}"/>
    <cellStyle name="Обычный 2 17" xfId="832" xr:uid="{00000000-0005-0000-0000-00004B030000}"/>
    <cellStyle name="Обычный 2 18" xfId="833" xr:uid="{00000000-0005-0000-0000-00004C030000}"/>
    <cellStyle name="Обычный 2 19" xfId="834" xr:uid="{00000000-0005-0000-0000-00004D030000}"/>
    <cellStyle name="Обычный 2 2" xfId="835" xr:uid="{00000000-0005-0000-0000-00004E030000}"/>
    <cellStyle name="Обычный 2 2 10" xfId="836" xr:uid="{00000000-0005-0000-0000-00004F030000}"/>
    <cellStyle name="Обычный 2 2 11" xfId="837" xr:uid="{00000000-0005-0000-0000-000050030000}"/>
    <cellStyle name="Обычный 2 2 12" xfId="838" xr:uid="{00000000-0005-0000-0000-000051030000}"/>
    <cellStyle name="Обычный 2 2 13" xfId="839" xr:uid="{00000000-0005-0000-0000-000052030000}"/>
    <cellStyle name="Обычный 2 2 2" xfId="840" xr:uid="{00000000-0005-0000-0000-000053030000}"/>
    <cellStyle name="Обычный 2 2 2 2" xfId="841" xr:uid="{00000000-0005-0000-0000-000054030000}"/>
    <cellStyle name="Обычный 2 2 2 2 2" xfId="842" xr:uid="{00000000-0005-0000-0000-000055030000}"/>
    <cellStyle name="Обычный 2 2 2 2 3" xfId="843" xr:uid="{00000000-0005-0000-0000-000056030000}"/>
    <cellStyle name="Обычный 2 2 2 2 4" xfId="844" xr:uid="{00000000-0005-0000-0000-000057030000}"/>
    <cellStyle name="Обычный 2 2 2 2 5" xfId="845" xr:uid="{00000000-0005-0000-0000-000058030000}"/>
    <cellStyle name="Обычный 2 2 2 2 6" xfId="846" xr:uid="{00000000-0005-0000-0000-000059030000}"/>
    <cellStyle name="Обычный 2 2 2 2 7" xfId="847" xr:uid="{00000000-0005-0000-0000-00005A030000}"/>
    <cellStyle name="Обычный 2 2 2 2 8" xfId="848" xr:uid="{00000000-0005-0000-0000-00005B030000}"/>
    <cellStyle name="Обычный 2 2 2 3" xfId="849" xr:uid="{00000000-0005-0000-0000-00005C030000}"/>
    <cellStyle name="Обычный 2 2 2 3 2" xfId="850" xr:uid="{00000000-0005-0000-0000-00005D030000}"/>
    <cellStyle name="Обычный 2 2 2 3 3" xfId="851" xr:uid="{00000000-0005-0000-0000-00005E030000}"/>
    <cellStyle name="Обычный 2 2 2 4" xfId="852" xr:uid="{00000000-0005-0000-0000-00005F030000}"/>
    <cellStyle name="Обычный 2 2 2 5" xfId="853" xr:uid="{00000000-0005-0000-0000-000060030000}"/>
    <cellStyle name="Обычный 2 2 2 6" xfId="854" xr:uid="{00000000-0005-0000-0000-000061030000}"/>
    <cellStyle name="Обычный 2 2 2 7" xfId="855" xr:uid="{00000000-0005-0000-0000-000062030000}"/>
    <cellStyle name="Обычный 2 2 2 8" xfId="856" xr:uid="{00000000-0005-0000-0000-000063030000}"/>
    <cellStyle name="Обычный 2 2 3" xfId="857" xr:uid="{00000000-0005-0000-0000-000064030000}"/>
    <cellStyle name="Обычный 2 2 3 2" xfId="858" xr:uid="{00000000-0005-0000-0000-000065030000}"/>
    <cellStyle name="Обычный 2 2 4" xfId="859" xr:uid="{00000000-0005-0000-0000-000066030000}"/>
    <cellStyle name="Обычный 2 2 4 2" xfId="860" xr:uid="{00000000-0005-0000-0000-000067030000}"/>
    <cellStyle name="Обычный 2 2 4 2 2" xfId="861" xr:uid="{00000000-0005-0000-0000-000068030000}"/>
    <cellStyle name="Обычный 2 2 5" xfId="862" xr:uid="{00000000-0005-0000-0000-000069030000}"/>
    <cellStyle name="Обычный 2 2 5 2" xfId="863" xr:uid="{00000000-0005-0000-0000-00006A030000}"/>
    <cellStyle name="Обычный 2 2 6" xfId="864" xr:uid="{00000000-0005-0000-0000-00006B030000}"/>
    <cellStyle name="Обычный 2 2 7" xfId="865" xr:uid="{00000000-0005-0000-0000-00006C030000}"/>
    <cellStyle name="Обычный 2 2 8" xfId="866" xr:uid="{00000000-0005-0000-0000-00006D030000}"/>
    <cellStyle name="Обычный 2 2 9" xfId="867" xr:uid="{00000000-0005-0000-0000-00006E030000}"/>
    <cellStyle name="Обычный 2 2_металл Сергею 15.10.09" xfId="868" xr:uid="{00000000-0005-0000-0000-00006F030000}"/>
    <cellStyle name="Обычный 2 20" xfId="869" xr:uid="{00000000-0005-0000-0000-000070030000}"/>
    <cellStyle name="Обычный 2 21" xfId="870" xr:uid="{00000000-0005-0000-0000-000071030000}"/>
    <cellStyle name="Обычный 2 26" xfId="871" xr:uid="{00000000-0005-0000-0000-000072030000}"/>
    <cellStyle name="Обычный 2 26 2" xfId="872" xr:uid="{00000000-0005-0000-0000-000073030000}"/>
    <cellStyle name="Обычный 2 3" xfId="873" xr:uid="{00000000-0005-0000-0000-000074030000}"/>
    <cellStyle name="Обычный 2 3 2" xfId="874" xr:uid="{00000000-0005-0000-0000-000075030000}"/>
    <cellStyle name="Обычный 2 3 3" xfId="875" xr:uid="{00000000-0005-0000-0000-000076030000}"/>
    <cellStyle name="Обычный 2 3 4" xfId="876" xr:uid="{00000000-0005-0000-0000-000077030000}"/>
    <cellStyle name="Обычный 2 3 5" xfId="877" xr:uid="{00000000-0005-0000-0000-000078030000}"/>
    <cellStyle name="Обычный 2 4" xfId="878" xr:uid="{00000000-0005-0000-0000-000079030000}"/>
    <cellStyle name="Обычный 2 4 2" xfId="879" xr:uid="{00000000-0005-0000-0000-00007A030000}"/>
    <cellStyle name="Обычный 2 4 3" xfId="880" xr:uid="{00000000-0005-0000-0000-00007B030000}"/>
    <cellStyle name="Обычный 2 4 4" xfId="881" xr:uid="{00000000-0005-0000-0000-00007C030000}"/>
    <cellStyle name="Обычный 2 5" xfId="882" xr:uid="{00000000-0005-0000-0000-00007D030000}"/>
    <cellStyle name="Обычный 2 5 2" xfId="883" xr:uid="{00000000-0005-0000-0000-00007E030000}"/>
    <cellStyle name="Обычный 2 5 2 2" xfId="884" xr:uid="{00000000-0005-0000-0000-00007F030000}"/>
    <cellStyle name="Обычный 2 5 2 3" xfId="885" xr:uid="{00000000-0005-0000-0000-000080030000}"/>
    <cellStyle name="Обычный 2 5 2_Выполнение МАЙ КС-02-образец" xfId="886" xr:uid="{00000000-0005-0000-0000-000081030000}"/>
    <cellStyle name="Обычный 2 5 3" xfId="887" xr:uid="{00000000-0005-0000-0000-000082030000}"/>
    <cellStyle name="Обычный 2 5 4" xfId="888" xr:uid="{00000000-0005-0000-0000-000083030000}"/>
    <cellStyle name="Обычный 2 5_Выполнение МАЙ КС-02-образец" xfId="889" xr:uid="{00000000-0005-0000-0000-000084030000}"/>
    <cellStyle name="Обычный 2 6" xfId="890" xr:uid="{00000000-0005-0000-0000-000085030000}"/>
    <cellStyle name="Обычный 2 6 2" xfId="891" xr:uid="{00000000-0005-0000-0000-000086030000}"/>
    <cellStyle name="Обычный 2 7" xfId="892" xr:uid="{00000000-0005-0000-0000-000087030000}"/>
    <cellStyle name="Обычный 2 7 2" xfId="893" xr:uid="{00000000-0005-0000-0000-000088030000}"/>
    <cellStyle name="Обычный 2 7 3" xfId="894" xr:uid="{00000000-0005-0000-0000-000089030000}"/>
    <cellStyle name="Обычный 2 8" xfId="895" xr:uid="{00000000-0005-0000-0000-00008A030000}"/>
    <cellStyle name="Обычный 2 8 2" xfId="896" xr:uid="{00000000-0005-0000-0000-00008B030000}"/>
    <cellStyle name="Обычный 2 9" xfId="897" xr:uid="{00000000-0005-0000-0000-00008C030000}"/>
    <cellStyle name="Обычный 2 9 2" xfId="898" xr:uid="{00000000-0005-0000-0000-00008D030000}"/>
    <cellStyle name="Обычный 20" xfId="899" xr:uid="{00000000-0005-0000-0000-00008E030000}"/>
    <cellStyle name="Обычный 20 2" xfId="900" xr:uid="{00000000-0005-0000-0000-00008F030000}"/>
    <cellStyle name="Обычный 20 3" xfId="901" xr:uid="{00000000-0005-0000-0000-000090030000}"/>
    <cellStyle name="Обычный 20 4" xfId="902" xr:uid="{00000000-0005-0000-0000-000091030000}"/>
    <cellStyle name="Обычный 20 5" xfId="903" xr:uid="{00000000-0005-0000-0000-000092030000}"/>
    <cellStyle name="Обычный 21" xfId="904" xr:uid="{00000000-0005-0000-0000-000093030000}"/>
    <cellStyle name="Обычный 21 2" xfId="905" xr:uid="{00000000-0005-0000-0000-000094030000}"/>
    <cellStyle name="Обычный 21 3" xfId="906" xr:uid="{00000000-0005-0000-0000-000095030000}"/>
    <cellStyle name="Обычный 22" xfId="907" xr:uid="{00000000-0005-0000-0000-000096030000}"/>
    <cellStyle name="Обычный 22 2" xfId="908" xr:uid="{00000000-0005-0000-0000-000097030000}"/>
    <cellStyle name="Обычный 22 3" xfId="909" xr:uid="{00000000-0005-0000-0000-000098030000}"/>
    <cellStyle name="Обычный 23" xfId="910" xr:uid="{00000000-0005-0000-0000-000099030000}"/>
    <cellStyle name="Обычный 23 2" xfId="911" xr:uid="{00000000-0005-0000-0000-00009A030000}"/>
    <cellStyle name="Обычный 23 3" xfId="912" xr:uid="{00000000-0005-0000-0000-00009B030000}"/>
    <cellStyle name="Обычный 24" xfId="913" xr:uid="{00000000-0005-0000-0000-00009C030000}"/>
    <cellStyle name="Обычный 24 2" xfId="914" xr:uid="{00000000-0005-0000-0000-00009D030000}"/>
    <cellStyle name="Обычный 24 2 2" xfId="915" xr:uid="{00000000-0005-0000-0000-00009E030000}"/>
    <cellStyle name="Обычный 24 3" xfId="916" xr:uid="{00000000-0005-0000-0000-00009F030000}"/>
    <cellStyle name="Обычный 25" xfId="917" xr:uid="{00000000-0005-0000-0000-0000A0030000}"/>
    <cellStyle name="Обычный 25 2" xfId="918" xr:uid="{00000000-0005-0000-0000-0000A1030000}"/>
    <cellStyle name="Обычный 26" xfId="919" xr:uid="{00000000-0005-0000-0000-0000A2030000}"/>
    <cellStyle name="Обычный 26 2" xfId="920" xr:uid="{00000000-0005-0000-0000-0000A3030000}"/>
    <cellStyle name="Обычный 26 3" xfId="921" xr:uid="{00000000-0005-0000-0000-0000A4030000}"/>
    <cellStyle name="Обычный 27" xfId="922" xr:uid="{00000000-0005-0000-0000-0000A5030000}"/>
    <cellStyle name="Обычный 27 2" xfId="923" xr:uid="{00000000-0005-0000-0000-0000A6030000}"/>
    <cellStyle name="Обычный 27 3" xfId="924" xr:uid="{00000000-0005-0000-0000-0000A7030000}"/>
    <cellStyle name="Обычный 28" xfId="925" xr:uid="{00000000-0005-0000-0000-0000A8030000}"/>
    <cellStyle name="Обычный 28 2" xfId="926" xr:uid="{00000000-0005-0000-0000-0000A9030000}"/>
    <cellStyle name="Обычный 28 3" xfId="927" xr:uid="{00000000-0005-0000-0000-0000AA030000}"/>
    <cellStyle name="Обычный 29" xfId="928" xr:uid="{00000000-0005-0000-0000-0000AB030000}"/>
    <cellStyle name="Обычный 29 2" xfId="929" xr:uid="{00000000-0005-0000-0000-0000AC030000}"/>
    <cellStyle name="Обычный 29 3" xfId="930" xr:uid="{00000000-0005-0000-0000-0000AD030000}"/>
    <cellStyle name="Обычный 3" xfId="931" xr:uid="{00000000-0005-0000-0000-0000AE030000}"/>
    <cellStyle name="Обычный 3 10" xfId="932" xr:uid="{00000000-0005-0000-0000-0000AF030000}"/>
    <cellStyle name="Обычный 3 2" xfId="933" xr:uid="{00000000-0005-0000-0000-0000B0030000}"/>
    <cellStyle name="Обычный 3 2 2" xfId="934" xr:uid="{00000000-0005-0000-0000-0000B1030000}"/>
    <cellStyle name="Обычный 3 2 2 2" xfId="935" xr:uid="{00000000-0005-0000-0000-0000B2030000}"/>
    <cellStyle name="Обычный 3 2 3" xfId="936" xr:uid="{00000000-0005-0000-0000-0000B3030000}"/>
    <cellStyle name="Обычный 3 3" xfId="937" xr:uid="{00000000-0005-0000-0000-0000B4030000}"/>
    <cellStyle name="Обычный 3 3 2" xfId="938" xr:uid="{00000000-0005-0000-0000-0000B5030000}"/>
    <cellStyle name="Обычный 3 4" xfId="939" xr:uid="{00000000-0005-0000-0000-0000B6030000}"/>
    <cellStyle name="Обычный 3 4 2" xfId="940" xr:uid="{00000000-0005-0000-0000-0000B7030000}"/>
    <cellStyle name="Обычный 3 5" xfId="941" xr:uid="{00000000-0005-0000-0000-0000B8030000}"/>
    <cellStyle name="Обычный 3 5 2" xfId="942" xr:uid="{00000000-0005-0000-0000-0000B9030000}"/>
    <cellStyle name="Обычный 3 6" xfId="943" xr:uid="{00000000-0005-0000-0000-0000BA030000}"/>
    <cellStyle name="Обычный 3 7" xfId="944" xr:uid="{00000000-0005-0000-0000-0000BB030000}"/>
    <cellStyle name="Обычный 3 8" xfId="945" xr:uid="{00000000-0005-0000-0000-0000BC030000}"/>
    <cellStyle name="Обычный 3 9" xfId="946" xr:uid="{00000000-0005-0000-0000-0000BD030000}"/>
    <cellStyle name="Обычный 30" xfId="947" xr:uid="{00000000-0005-0000-0000-0000BE030000}"/>
    <cellStyle name="Обычный 30 2" xfId="948" xr:uid="{00000000-0005-0000-0000-0000BF030000}"/>
    <cellStyle name="Обычный 30 3" xfId="949" xr:uid="{00000000-0005-0000-0000-0000C0030000}"/>
    <cellStyle name="Обычный 31" xfId="950" xr:uid="{00000000-0005-0000-0000-0000C1030000}"/>
    <cellStyle name="Обычный 31 2" xfId="951" xr:uid="{00000000-0005-0000-0000-0000C2030000}"/>
    <cellStyle name="Обычный 31 3" xfId="952" xr:uid="{00000000-0005-0000-0000-0000C3030000}"/>
    <cellStyle name="Обычный 32" xfId="953" xr:uid="{00000000-0005-0000-0000-0000C4030000}"/>
    <cellStyle name="Обычный 32 2" xfId="954" xr:uid="{00000000-0005-0000-0000-0000C5030000}"/>
    <cellStyle name="Обычный 32 3" xfId="955" xr:uid="{00000000-0005-0000-0000-0000C6030000}"/>
    <cellStyle name="Обычный 33" xfId="956" xr:uid="{00000000-0005-0000-0000-0000C7030000}"/>
    <cellStyle name="Обычный 33 2" xfId="957" xr:uid="{00000000-0005-0000-0000-0000C8030000}"/>
    <cellStyle name="Обычный 33 3" xfId="958" xr:uid="{00000000-0005-0000-0000-0000C9030000}"/>
    <cellStyle name="Обычный 34" xfId="959" xr:uid="{00000000-0005-0000-0000-0000CA030000}"/>
    <cellStyle name="Обычный 34 2" xfId="960" xr:uid="{00000000-0005-0000-0000-0000CB030000}"/>
    <cellStyle name="Обычный 34 3" xfId="961" xr:uid="{00000000-0005-0000-0000-0000CC030000}"/>
    <cellStyle name="Обычный 35" xfId="962" xr:uid="{00000000-0005-0000-0000-0000CD030000}"/>
    <cellStyle name="Обычный 35 2" xfId="963" xr:uid="{00000000-0005-0000-0000-0000CE030000}"/>
    <cellStyle name="Обычный 36" xfId="964" xr:uid="{00000000-0005-0000-0000-0000CF030000}"/>
    <cellStyle name="Обычный 36 2" xfId="965" xr:uid="{00000000-0005-0000-0000-0000D0030000}"/>
    <cellStyle name="Обычный 37" xfId="966" xr:uid="{00000000-0005-0000-0000-0000D1030000}"/>
    <cellStyle name="Обычный 37 2" xfId="967" xr:uid="{00000000-0005-0000-0000-0000D2030000}"/>
    <cellStyle name="Обычный 37 3" xfId="968" xr:uid="{00000000-0005-0000-0000-0000D3030000}"/>
    <cellStyle name="Обычный 38" xfId="969" xr:uid="{00000000-0005-0000-0000-0000D4030000}"/>
    <cellStyle name="Обычный 38 2" xfId="970" xr:uid="{00000000-0005-0000-0000-0000D5030000}"/>
    <cellStyle name="Обычный 39" xfId="971" xr:uid="{00000000-0005-0000-0000-0000D6030000}"/>
    <cellStyle name="Обычный 39 2" xfId="972" xr:uid="{00000000-0005-0000-0000-0000D7030000}"/>
    <cellStyle name="Обычный 4" xfId="973" xr:uid="{00000000-0005-0000-0000-0000D8030000}"/>
    <cellStyle name="Обычный 4 10" xfId="974" xr:uid="{00000000-0005-0000-0000-0000D9030000}"/>
    <cellStyle name="Обычный 4 11" xfId="975" xr:uid="{00000000-0005-0000-0000-0000DA030000}"/>
    <cellStyle name="Обычный 4 12" xfId="976" xr:uid="{00000000-0005-0000-0000-0000DB030000}"/>
    <cellStyle name="Обычный 4 13" xfId="977" xr:uid="{00000000-0005-0000-0000-0000DC030000}"/>
    <cellStyle name="Обычный 4 2" xfId="978" xr:uid="{00000000-0005-0000-0000-0000DD030000}"/>
    <cellStyle name="Обычный 4 2 2" xfId="979" xr:uid="{00000000-0005-0000-0000-0000DE030000}"/>
    <cellStyle name="Обычный 4 3" xfId="980" xr:uid="{00000000-0005-0000-0000-0000DF030000}"/>
    <cellStyle name="Обычный 4 3 2" xfId="981" xr:uid="{00000000-0005-0000-0000-0000E0030000}"/>
    <cellStyle name="Обычный 4 4" xfId="982" xr:uid="{00000000-0005-0000-0000-0000E1030000}"/>
    <cellStyle name="Обычный 4 4 2" xfId="983" xr:uid="{00000000-0005-0000-0000-0000E2030000}"/>
    <cellStyle name="Обычный 4 5" xfId="984" xr:uid="{00000000-0005-0000-0000-0000E3030000}"/>
    <cellStyle name="Обычный 4 6" xfId="985" xr:uid="{00000000-0005-0000-0000-0000E4030000}"/>
    <cellStyle name="Обычный 4 7" xfId="986" xr:uid="{00000000-0005-0000-0000-0000E5030000}"/>
    <cellStyle name="Обычный 4 8" xfId="987" xr:uid="{00000000-0005-0000-0000-0000E6030000}"/>
    <cellStyle name="Обычный 4 9" xfId="988" xr:uid="{00000000-0005-0000-0000-0000E7030000}"/>
    <cellStyle name="Обычный 40" xfId="989" xr:uid="{00000000-0005-0000-0000-0000E8030000}"/>
    <cellStyle name="Обычный 40 2" xfId="990" xr:uid="{00000000-0005-0000-0000-0000E9030000}"/>
    <cellStyle name="Обычный 41" xfId="991" xr:uid="{00000000-0005-0000-0000-0000EA030000}"/>
    <cellStyle name="Обычный 41 2" xfId="992" xr:uid="{00000000-0005-0000-0000-0000EB030000}"/>
    <cellStyle name="Обычный 42" xfId="993" xr:uid="{00000000-0005-0000-0000-0000EC030000}"/>
    <cellStyle name="Обычный 42 2" xfId="994" xr:uid="{00000000-0005-0000-0000-0000ED030000}"/>
    <cellStyle name="Обычный 43" xfId="995" xr:uid="{00000000-0005-0000-0000-0000EE030000}"/>
    <cellStyle name="Обычный 43 2" xfId="996" xr:uid="{00000000-0005-0000-0000-0000EF030000}"/>
    <cellStyle name="Обычный 44" xfId="997" xr:uid="{00000000-0005-0000-0000-0000F0030000}"/>
    <cellStyle name="Обычный 44 2" xfId="998" xr:uid="{00000000-0005-0000-0000-0000F1030000}"/>
    <cellStyle name="Обычный 45" xfId="999" xr:uid="{00000000-0005-0000-0000-0000F2030000}"/>
    <cellStyle name="Обычный 45 2" xfId="1000" xr:uid="{00000000-0005-0000-0000-0000F3030000}"/>
    <cellStyle name="Обычный 46" xfId="1001" xr:uid="{00000000-0005-0000-0000-0000F4030000}"/>
    <cellStyle name="Обычный 46 2" xfId="1002" xr:uid="{00000000-0005-0000-0000-0000F5030000}"/>
    <cellStyle name="Обычный 47" xfId="1003" xr:uid="{00000000-0005-0000-0000-0000F6030000}"/>
    <cellStyle name="Обычный 47 2" xfId="1004" xr:uid="{00000000-0005-0000-0000-0000F7030000}"/>
    <cellStyle name="Обычный 48" xfId="1005" xr:uid="{00000000-0005-0000-0000-0000F8030000}"/>
    <cellStyle name="Обычный 48 2" xfId="1006" xr:uid="{00000000-0005-0000-0000-0000F9030000}"/>
    <cellStyle name="Обычный 49" xfId="1007" xr:uid="{00000000-0005-0000-0000-0000FA030000}"/>
    <cellStyle name="Обычный 49 2" xfId="1008" xr:uid="{00000000-0005-0000-0000-0000FB030000}"/>
    <cellStyle name="Обычный 5" xfId="1009" xr:uid="{00000000-0005-0000-0000-0000FC030000}"/>
    <cellStyle name="Обычный 5 2" xfId="1010" xr:uid="{00000000-0005-0000-0000-0000FD030000}"/>
    <cellStyle name="Обычный 5 3" xfId="1011" xr:uid="{00000000-0005-0000-0000-0000FE030000}"/>
    <cellStyle name="Обычный 5 4" xfId="1012" xr:uid="{00000000-0005-0000-0000-0000FF030000}"/>
    <cellStyle name="Обычный 50" xfId="1013" xr:uid="{00000000-0005-0000-0000-000000040000}"/>
    <cellStyle name="Обычный 50 2" xfId="1014" xr:uid="{00000000-0005-0000-0000-000001040000}"/>
    <cellStyle name="Обычный 51" xfId="1015" xr:uid="{00000000-0005-0000-0000-000002040000}"/>
    <cellStyle name="Обычный 51 2" xfId="1016" xr:uid="{00000000-0005-0000-0000-000003040000}"/>
    <cellStyle name="Обычный 52" xfId="1017" xr:uid="{00000000-0005-0000-0000-000004040000}"/>
    <cellStyle name="Обычный 52 2" xfId="1018" xr:uid="{00000000-0005-0000-0000-000005040000}"/>
    <cellStyle name="Обычный 53" xfId="1019" xr:uid="{00000000-0005-0000-0000-000006040000}"/>
    <cellStyle name="Обычный 53 2" xfId="1020" xr:uid="{00000000-0005-0000-0000-000007040000}"/>
    <cellStyle name="Обычный 54" xfId="1021" xr:uid="{00000000-0005-0000-0000-000008040000}"/>
    <cellStyle name="Обычный 54 2" xfId="1022" xr:uid="{00000000-0005-0000-0000-000009040000}"/>
    <cellStyle name="Обычный 55" xfId="1023" xr:uid="{00000000-0005-0000-0000-00000A040000}"/>
    <cellStyle name="Обычный 55 2" xfId="1024" xr:uid="{00000000-0005-0000-0000-00000B040000}"/>
    <cellStyle name="Обычный 56" xfId="1025" xr:uid="{00000000-0005-0000-0000-00000C040000}"/>
    <cellStyle name="Обычный 56 2" xfId="1026" xr:uid="{00000000-0005-0000-0000-00000D040000}"/>
    <cellStyle name="Обычный 57" xfId="1027" xr:uid="{00000000-0005-0000-0000-00000E040000}"/>
    <cellStyle name="Обычный 57 2" xfId="1028" xr:uid="{00000000-0005-0000-0000-00000F040000}"/>
    <cellStyle name="Обычный 58" xfId="1029" xr:uid="{00000000-0005-0000-0000-000010040000}"/>
    <cellStyle name="Обычный 58 2" xfId="1030" xr:uid="{00000000-0005-0000-0000-000011040000}"/>
    <cellStyle name="Обычный 59" xfId="1031" xr:uid="{00000000-0005-0000-0000-000012040000}"/>
    <cellStyle name="Обычный 59 2" xfId="1032" xr:uid="{00000000-0005-0000-0000-000013040000}"/>
    <cellStyle name="Обычный 6" xfId="1033" xr:uid="{00000000-0005-0000-0000-000014040000}"/>
    <cellStyle name="Обычный 6 2" xfId="1034" xr:uid="{00000000-0005-0000-0000-000015040000}"/>
    <cellStyle name="Обычный 6 2 2" xfId="1035" xr:uid="{00000000-0005-0000-0000-000016040000}"/>
    <cellStyle name="Обычный 6 2 3" xfId="1036" xr:uid="{00000000-0005-0000-0000-000017040000}"/>
    <cellStyle name="Обычный 6 3" xfId="1037" xr:uid="{00000000-0005-0000-0000-000018040000}"/>
    <cellStyle name="Обычный 6 3 2" xfId="1038" xr:uid="{00000000-0005-0000-0000-000019040000}"/>
    <cellStyle name="Обычный 6 4" xfId="1039" xr:uid="{00000000-0005-0000-0000-00001A040000}"/>
    <cellStyle name="Обычный 6 5" xfId="1040" xr:uid="{00000000-0005-0000-0000-00001B040000}"/>
    <cellStyle name="Обычный 6 5 2" xfId="1041" xr:uid="{00000000-0005-0000-0000-00001C040000}"/>
    <cellStyle name="Обычный 60" xfId="1042" xr:uid="{00000000-0005-0000-0000-00001D040000}"/>
    <cellStyle name="Обычный 60 2" xfId="1043" xr:uid="{00000000-0005-0000-0000-00001E040000}"/>
    <cellStyle name="Обычный 61" xfId="1044" xr:uid="{00000000-0005-0000-0000-00001F040000}"/>
    <cellStyle name="Обычный 61 2" xfId="1045" xr:uid="{00000000-0005-0000-0000-000020040000}"/>
    <cellStyle name="Обычный 62" xfId="1046" xr:uid="{00000000-0005-0000-0000-000021040000}"/>
    <cellStyle name="Обычный 62 2" xfId="1047" xr:uid="{00000000-0005-0000-0000-000022040000}"/>
    <cellStyle name="Обычный 63" xfId="1048" xr:uid="{00000000-0005-0000-0000-000023040000}"/>
    <cellStyle name="Обычный 63 2" xfId="1049" xr:uid="{00000000-0005-0000-0000-000024040000}"/>
    <cellStyle name="Обычный 64" xfId="1050" xr:uid="{00000000-0005-0000-0000-000025040000}"/>
    <cellStyle name="Обычный 64 2" xfId="1051" xr:uid="{00000000-0005-0000-0000-000026040000}"/>
    <cellStyle name="Обычный 65" xfId="1052" xr:uid="{00000000-0005-0000-0000-000027040000}"/>
    <cellStyle name="Обычный 65 2" xfId="1053" xr:uid="{00000000-0005-0000-0000-000028040000}"/>
    <cellStyle name="Обычный 66" xfId="1054" xr:uid="{00000000-0005-0000-0000-000029040000}"/>
    <cellStyle name="Обычный 66 2" xfId="1055" xr:uid="{00000000-0005-0000-0000-00002A040000}"/>
    <cellStyle name="Обычный 67" xfId="1056" xr:uid="{00000000-0005-0000-0000-00002B040000}"/>
    <cellStyle name="Обычный 67 2" xfId="1057" xr:uid="{00000000-0005-0000-0000-00002C040000}"/>
    <cellStyle name="Обычный 68" xfId="1058" xr:uid="{00000000-0005-0000-0000-00002D040000}"/>
    <cellStyle name="Обычный 68 2" xfId="1059" xr:uid="{00000000-0005-0000-0000-00002E040000}"/>
    <cellStyle name="Обычный 69" xfId="1060" xr:uid="{00000000-0005-0000-0000-00002F040000}"/>
    <cellStyle name="Обычный 69 2" xfId="1061" xr:uid="{00000000-0005-0000-0000-000030040000}"/>
    <cellStyle name="Обычный 7" xfId="1062" xr:uid="{00000000-0005-0000-0000-000031040000}"/>
    <cellStyle name="Обычный 7 10" xfId="1063" xr:uid="{00000000-0005-0000-0000-000032040000}"/>
    <cellStyle name="Обычный 7 11" xfId="1064" xr:uid="{00000000-0005-0000-0000-000033040000}"/>
    <cellStyle name="Обычный 7 12" xfId="1065" xr:uid="{00000000-0005-0000-0000-000034040000}"/>
    <cellStyle name="Обычный 7 2" xfId="1066" xr:uid="{00000000-0005-0000-0000-000035040000}"/>
    <cellStyle name="Обычный 7 2 2" xfId="1067" xr:uid="{00000000-0005-0000-0000-000036040000}"/>
    <cellStyle name="Обычный 7 2 2 2" xfId="1068" xr:uid="{00000000-0005-0000-0000-000037040000}"/>
    <cellStyle name="Обычный 7 2 2 2 2" xfId="1069" xr:uid="{00000000-0005-0000-0000-000038040000}"/>
    <cellStyle name="Обычный 7 2 2 2 2 2" xfId="1070" xr:uid="{00000000-0005-0000-0000-000039040000}"/>
    <cellStyle name="Обычный 7 2 2 2 2 2 2" xfId="1071" xr:uid="{00000000-0005-0000-0000-00003A040000}"/>
    <cellStyle name="Обычный 7 2 2 2 2 2 2 2" xfId="1072" xr:uid="{00000000-0005-0000-0000-00003B040000}"/>
    <cellStyle name="Обычный 7 2 2 2 2 2 2 2 2" xfId="1073" xr:uid="{00000000-0005-0000-0000-00003C040000}"/>
    <cellStyle name="Обычный 7 2 2 2 2 2 2 2 2 2" xfId="1074" xr:uid="{00000000-0005-0000-0000-00003D040000}"/>
    <cellStyle name="Обычный 7 2 2 2 2 2 2 2 2 3" xfId="1075" xr:uid="{00000000-0005-0000-0000-00003E040000}"/>
    <cellStyle name="Обычный 7 2 2 2 2 2 2 2 2 3 2" xfId="1076" xr:uid="{00000000-0005-0000-0000-00003F040000}"/>
    <cellStyle name="Обычный 7 2 2 2 2 2 2 2 2 4" xfId="1077" xr:uid="{00000000-0005-0000-0000-000040040000}"/>
    <cellStyle name="Обычный 7 2 2 2 2 2 2 2 2 5" xfId="1078" xr:uid="{00000000-0005-0000-0000-000041040000}"/>
    <cellStyle name="Обычный 7 2 2 2 2 2 2 3" xfId="1079" xr:uid="{00000000-0005-0000-0000-000042040000}"/>
    <cellStyle name="Обычный 7 2 2 2 2 2 2 4" xfId="1080" xr:uid="{00000000-0005-0000-0000-000043040000}"/>
    <cellStyle name="Обычный 7 2 2 2 2 2 3" xfId="1081" xr:uid="{00000000-0005-0000-0000-000044040000}"/>
    <cellStyle name="Обычный 7 2 2 2 2 2 3 2" xfId="1082" xr:uid="{00000000-0005-0000-0000-000045040000}"/>
    <cellStyle name="Обычный 7 2 2 2 2 2 4" xfId="1083" xr:uid="{00000000-0005-0000-0000-000046040000}"/>
    <cellStyle name="Обычный 7 2 2 2 2 2 4 2" xfId="1084" xr:uid="{00000000-0005-0000-0000-000047040000}"/>
    <cellStyle name="Обычный 7 2 2 2 2 2 4 3" xfId="1085" xr:uid="{00000000-0005-0000-0000-000048040000}"/>
    <cellStyle name="Обычный 7 2 2 2 2 2 4 3 2" xfId="1086" xr:uid="{00000000-0005-0000-0000-000049040000}"/>
    <cellStyle name="Обычный 7 2 2 2 2 2 5" xfId="1087" xr:uid="{00000000-0005-0000-0000-00004A040000}"/>
    <cellStyle name="Обычный 7 2 2 2 2 2 6" xfId="1088" xr:uid="{00000000-0005-0000-0000-00004B040000}"/>
    <cellStyle name="Обычный 7 2 2 2 2 2 7" xfId="1089" xr:uid="{00000000-0005-0000-0000-00004C040000}"/>
    <cellStyle name="Обычный 7 2 2 2 2 2 8" xfId="1090" xr:uid="{00000000-0005-0000-0000-00004D040000}"/>
    <cellStyle name="Обычный 7 2 2 2 2 3" xfId="1091" xr:uid="{00000000-0005-0000-0000-00004E040000}"/>
    <cellStyle name="Обычный 7 2 2 2 2 3 10" xfId="1092" xr:uid="{00000000-0005-0000-0000-00004F040000}"/>
    <cellStyle name="Обычный 7 2 2 2 2 3 2" xfId="1093" xr:uid="{00000000-0005-0000-0000-000050040000}"/>
    <cellStyle name="Обычный 7 2 2 2 2 3 2 2" xfId="1094" xr:uid="{00000000-0005-0000-0000-000051040000}"/>
    <cellStyle name="Обычный 7 2 2 2 2 3 3" xfId="1095" xr:uid="{00000000-0005-0000-0000-000052040000}"/>
    <cellStyle name="Обычный 7 2 2 2 2 3 3 2" xfId="1096" xr:uid="{00000000-0005-0000-0000-000053040000}"/>
    <cellStyle name="Обычный 7 2 2 2 2 3 3 3" xfId="1097" xr:uid="{00000000-0005-0000-0000-000054040000}"/>
    <cellStyle name="Обычный 7 2 2 2 2 3 3 3 2" xfId="1098" xr:uid="{00000000-0005-0000-0000-000055040000}"/>
    <cellStyle name="Обычный 7 2 2 2 2 3 3 3 2 2" xfId="1099" xr:uid="{00000000-0005-0000-0000-000056040000}"/>
    <cellStyle name="Обычный 7 2 2 2 2 3 3 3 2 2 2" xfId="1100" xr:uid="{00000000-0005-0000-0000-000057040000}"/>
    <cellStyle name="Обычный 7 2 2 2 2 3 4" xfId="1101" xr:uid="{00000000-0005-0000-0000-000058040000}"/>
    <cellStyle name="Обычный 7 2 2 2 2 3 4 2" xfId="1102" xr:uid="{00000000-0005-0000-0000-000059040000}"/>
    <cellStyle name="Обычный 7 2 2 2 2 3 4 2 2" xfId="1103" xr:uid="{00000000-0005-0000-0000-00005A040000}"/>
    <cellStyle name="Обычный 7 2 2 2 2 3 4 2 2 2" xfId="1104" xr:uid="{00000000-0005-0000-0000-00005B040000}"/>
    <cellStyle name="Обычный 7 2 2 2 2 3 4 2 2 2 2" xfId="1105" xr:uid="{00000000-0005-0000-0000-00005C040000}"/>
    <cellStyle name="Обычный 7 2 2 2 2 3 4 2 3" xfId="1106" xr:uid="{00000000-0005-0000-0000-00005D040000}"/>
    <cellStyle name="Обычный 7 2 2 2 2 3 4 2 3 2" xfId="1107" xr:uid="{00000000-0005-0000-0000-00005E040000}"/>
    <cellStyle name="Обычный 7 2 2 2 2 3 4 3" xfId="1108" xr:uid="{00000000-0005-0000-0000-00005F040000}"/>
    <cellStyle name="Обычный 7 2 2 2 2 3 5" xfId="1109" xr:uid="{00000000-0005-0000-0000-000060040000}"/>
    <cellStyle name="Обычный 7 2 2 2 2 3 6" xfId="1110" xr:uid="{00000000-0005-0000-0000-000061040000}"/>
    <cellStyle name="Обычный 7 2 2 2 2 3 7" xfId="1111" xr:uid="{00000000-0005-0000-0000-000062040000}"/>
    <cellStyle name="Обычный 7 2 2 2 2 3 8" xfId="1112" xr:uid="{00000000-0005-0000-0000-000063040000}"/>
    <cellStyle name="Обычный 7 2 2 2 2 3 8 2" xfId="1113" xr:uid="{00000000-0005-0000-0000-000064040000}"/>
    <cellStyle name="Обычный 7 2 2 2 2 3 9" xfId="1114" xr:uid="{00000000-0005-0000-0000-000065040000}"/>
    <cellStyle name="Обычный 7 2 2 2 2 4" xfId="1115" xr:uid="{00000000-0005-0000-0000-000066040000}"/>
    <cellStyle name="Обычный 7 2 2 2 3" xfId="1116" xr:uid="{00000000-0005-0000-0000-000067040000}"/>
    <cellStyle name="Обычный 7 2 2 3" xfId="1117" xr:uid="{00000000-0005-0000-0000-000068040000}"/>
    <cellStyle name="Обычный 7 2 2 3 2" xfId="1118" xr:uid="{00000000-0005-0000-0000-000069040000}"/>
    <cellStyle name="Обычный 7 2 2 4" xfId="1119" xr:uid="{00000000-0005-0000-0000-00006A040000}"/>
    <cellStyle name="Обычный 7 2 3" xfId="1120" xr:uid="{00000000-0005-0000-0000-00006B040000}"/>
    <cellStyle name="Обычный 7 2 3 2" xfId="1121" xr:uid="{00000000-0005-0000-0000-00006C040000}"/>
    <cellStyle name="Обычный 7 2 4" xfId="1122" xr:uid="{00000000-0005-0000-0000-00006D040000}"/>
    <cellStyle name="Обычный 7 2 5" xfId="1123" xr:uid="{00000000-0005-0000-0000-00006E040000}"/>
    <cellStyle name="Обычный 7 3" xfId="1124" xr:uid="{00000000-0005-0000-0000-00006F040000}"/>
    <cellStyle name="Обычный 7 3 2" xfId="1125" xr:uid="{00000000-0005-0000-0000-000070040000}"/>
    <cellStyle name="Обычный 7 4" xfId="1126" xr:uid="{00000000-0005-0000-0000-000071040000}"/>
    <cellStyle name="Обычный 7 4 2" xfId="1127" xr:uid="{00000000-0005-0000-0000-000072040000}"/>
    <cellStyle name="Обычный 7 5" xfId="1128" xr:uid="{00000000-0005-0000-0000-000073040000}"/>
    <cellStyle name="Обычный 7 5 2" xfId="1129" xr:uid="{00000000-0005-0000-0000-000074040000}"/>
    <cellStyle name="Обычный 7 6" xfId="1130" xr:uid="{00000000-0005-0000-0000-000075040000}"/>
    <cellStyle name="Обычный 7 7" xfId="1131" xr:uid="{00000000-0005-0000-0000-000076040000}"/>
    <cellStyle name="Обычный 7 8" xfId="1132" xr:uid="{00000000-0005-0000-0000-000077040000}"/>
    <cellStyle name="Обычный 7 9" xfId="1133" xr:uid="{00000000-0005-0000-0000-000078040000}"/>
    <cellStyle name="Обычный 70" xfId="1134" xr:uid="{00000000-0005-0000-0000-000079040000}"/>
    <cellStyle name="Обычный 70 2" xfId="1135" xr:uid="{00000000-0005-0000-0000-00007A040000}"/>
    <cellStyle name="Обычный 71" xfId="1136" xr:uid="{00000000-0005-0000-0000-00007B040000}"/>
    <cellStyle name="Обычный 71 2" xfId="1137" xr:uid="{00000000-0005-0000-0000-00007C040000}"/>
    <cellStyle name="Обычный 72" xfId="1138" xr:uid="{00000000-0005-0000-0000-00007D040000}"/>
    <cellStyle name="Обычный 72 2" xfId="1139" xr:uid="{00000000-0005-0000-0000-00007E040000}"/>
    <cellStyle name="Обычный 73" xfId="1140" xr:uid="{00000000-0005-0000-0000-00007F040000}"/>
    <cellStyle name="Обычный 73 2" xfId="1141" xr:uid="{00000000-0005-0000-0000-000080040000}"/>
    <cellStyle name="Обычный 74" xfId="1142" xr:uid="{00000000-0005-0000-0000-000081040000}"/>
    <cellStyle name="Обычный 74 2" xfId="1143" xr:uid="{00000000-0005-0000-0000-000082040000}"/>
    <cellStyle name="Обычный 74 3" xfId="1144" xr:uid="{00000000-0005-0000-0000-000083040000}"/>
    <cellStyle name="Обычный 75" xfId="1145" xr:uid="{00000000-0005-0000-0000-000084040000}"/>
    <cellStyle name="Обычный 75 2" xfId="1146" xr:uid="{00000000-0005-0000-0000-000085040000}"/>
    <cellStyle name="Обычный 76" xfId="1147" xr:uid="{00000000-0005-0000-0000-000086040000}"/>
    <cellStyle name="Обычный 76 2" xfId="1148" xr:uid="{00000000-0005-0000-0000-000087040000}"/>
    <cellStyle name="Обычный 77" xfId="1149" xr:uid="{00000000-0005-0000-0000-000088040000}"/>
    <cellStyle name="Обычный 77 2" xfId="1150" xr:uid="{00000000-0005-0000-0000-000089040000}"/>
    <cellStyle name="Обычный 78" xfId="1151" xr:uid="{00000000-0005-0000-0000-00008A040000}"/>
    <cellStyle name="Обычный 78 2" xfId="1152" xr:uid="{00000000-0005-0000-0000-00008B040000}"/>
    <cellStyle name="Обычный 79" xfId="1153" xr:uid="{00000000-0005-0000-0000-00008C040000}"/>
    <cellStyle name="Обычный 79 2" xfId="1154" xr:uid="{00000000-0005-0000-0000-00008D040000}"/>
    <cellStyle name="Обычный 8" xfId="1155" xr:uid="{00000000-0005-0000-0000-00008E040000}"/>
    <cellStyle name="Обычный 8 2" xfId="1156" xr:uid="{00000000-0005-0000-0000-00008F040000}"/>
    <cellStyle name="Обычный 8 2 2" xfId="1157" xr:uid="{00000000-0005-0000-0000-000090040000}"/>
    <cellStyle name="Обычный 8 2 3" xfId="1158" xr:uid="{00000000-0005-0000-0000-000091040000}"/>
    <cellStyle name="Обычный 8 3" xfId="1159" xr:uid="{00000000-0005-0000-0000-000092040000}"/>
    <cellStyle name="Обычный 8 3 2" xfId="1160" xr:uid="{00000000-0005-0000-0000-000093040000}"/>
    <cellStyle name="Обычный 8 4" xfId="1161" xr:uid="{00000000-0005-0000-0000-000094040000}"/>
    <cellStyle name="Обычный 8 4 2" xfId="1162" xr:uid="{00000000-0005-0000-0000-000095040000}"/>
    <cellStyle name="Обычный 80" xfId="1163" xr:uid="{00000000-0005-0000-0000-000096040000}"/>
    <cellStyle name="Обычный 80 2" xfId="1164" xr:uid="{00000000-0005-0000-0000-000097040000}"/>
    <cellStyle name="Обычный 81" xfId="1165" xr:uid="{00000000-0005-0000-0000-000098040000}"/>
    <cellStyle name="Обычный 81 2" xfId="1166" xr:uid="{00000000-0005-0000-0000-000099040000}"/>
    <cellStyle name="Обычный 82" xfId="1167" xr:uid="{00000000-0005-0000-0000-00009A040000}"/>
    <cellStyle name="Обычный 82 2" xfId="1168" xr:uid="{00000000-0005-0000-0000-00009B040000}"/>
    <cellStyle name="Обычный 83" xfId="1169" xr:uid="{00000000-0005-0000-0000-00009C040000}"/>
    <cellStyle name="Обычный 83 2" xfId="1170" xr:uid="{00000000-0005-0000-0000-00009D040000}"/>
    <cellStyle name="Обычный 84" xfId="1171" xr:uid="{00000000-0005-0000-0000-00009E040000}"/>
    <cellStyle name="Обычный 84 2" xfId="1172" xr:uid="{00000000-0005-0000-0000-00009F040000}"/>
    <cellStyle name="Обычный 85" xfId="1173" xr:uid="{00000000-0005-0000-0000-0000A0040000}"/>
    <cellStyle name="Обычный 85 2" xfId="1174" xr:uid="{00000000-0005-0000-0000-0000A1040000}"/>
    <cellStyle name="Обычный 86" xfId="1175" xr:uid="{00000000-0005-0000-0000-0000A2040000}"/>
    <cellStyle name="Обычный 86 2" xfId="1176" xr:uid="{00000000-0005-0000-0000-0000A3040000}"/>
    <cellStyle name="Обычный 87" xfId="1177" xr:uid="{00000000-0005-0000-0000-0000A4040000}"/>
    <cellStyle name="Обычный 87 2" xfId="1178" xr:uid="{00000000-0005-0000-0000-0000A5040000}"/>
    <cellStyle name="Обычный 88" xfId="1179" xr:uid="{00000000-0005-0000-0000-0000A6040000}"/>
    <cellStyle name="Обычный 88 2" xfId="1180" xr:uid="{00000000-0005-0000-0000-0000A7040000}"/>
    <cellStyle name="Обычный 89" xfId="1181" xr:uid="{00000000-0005-0000-0000-0000A8040000}"/>
    <cellStyle name="Обычный 89 2" xfId="1182" xr:uid="{00000000-0005-0000-0000-0000A9040000}"/>
    <cellStyle name="Обычный 9" xfId="1183" xr:uid="{00000000-0005-0000-0000-0000AA040000}"/>
    <cellStyle name="Обычный 9 2" xfId="1184" xr:uid="{00000000-0005-0000-0000-0000AB040000}"/>
    <cellStyle name="Обычный 9 2 2" xfId="1185" xr:uid="{00000000-0005-0000-0000-0000AC040000}"/>
    <cellStyle name="Обычный 9 2 2 2" xfId="1186" xr:uid="{00000000-0005-0000-0000-0000AD040000}"/>
    <cellStyle name="Обычный 9 2 3" xfId="1187" xr:uid="{00000000-0005-0000-0000-0000AE040000}"/>
    <cellStyle name="Обычный 9 2 3 2" xfId="1188" xr:uid="{00000000-0005-0000-0000-0000AF040000}"/>
    <cellStyle name="Обычный 9 2 3 2 2" xfId="1189" xr:uid="{00000000-0005-0000-0000-0000B0040000}"/>
    <cellStyle name="Обычный 9 2 3 2 2 2" xfId="1190" xr:uid="{00000000-0005-0000-0000-0000B1040000}"/>
    <cellStyle name="Обычный 9 2 3 2 2 2 2" xfId="1191" xr:uid="{00000000-0005-0000-0000-0000B2040000}"/>
    <cellStyle name="Обычный 9 2 3 3" xfId="1192" xr:uid="{00000000-0005-0000-0000-0000B3040000}"/>
    <cellStyle name="Обычный 9 2 3 4" xfId="1193" xr:uid="{00000000-0005-0000-0000-0000B4040000}"/>
    <cellStyle name="Обычный 9 2 3 5" xfId="1194" xr:uid="{00000000-0005-0000-0000-0000B5040000}"/>
    <cellStyle name="Обычный 9 2 4" xfId="1195" xr:uid="{00000000-0005-0000-0000-0000B6040000}"/>
    <cellStyle name="Обычный 9 3" xfId="1196" xr:uid="{00000000-0005-0000-0000-0000B7040000}"/>
    <cellStyle name="Обычный 9 3 2" xfId="1197" xr:uid="{00000000-0005-0000-0000-0000B8040000}"/>
    <cellStyle name="Обычный 9 4" xfId="1198" xr:uid="{00000000-0005-0000-0000-0000B9040000}"/>
    <cellStyle name="Обычный 90" xfId="1199" xr:uid="{00000000-0005-0000-0000-0000BA040000}"/>
    <cellStyle name="Обычный 90 2" xfId="1200" xr:uid="{00000000-0005-0000-0000-0000BB040000}"/>
    <cellStyle name="Обычный 91" xfId="1201" xr:uid="{00000000-0005-0000-0000-0000BC040000}"/>
    <cellStyle name="Обычный 91 2" xfId="1202" xr:uid="{00000000-0005-0000-0000-0000BD040000}"/>
    <cellStyle name="Обычный 92" xfId="1203" xr:uid="{00000000-0005-0000-0000-0000BE040000}"/>
    <cellStyle name="Обычный 92 2" xfId="1204" xr:uid="{00000000-0005-0000-0000-0000BF040000}"/>
    <cellStyle name="Обычный 93" xfId="1205" xr:uid="{00000000-0005-0000-0000-0000C0040000}"/>
    <cellStyle name="Обычный 93 2" xfId="1206" xr:uid="{00000000-0005-0000-0000-0000C1040000}"/>
    <cellStyle name="Обычный 94" xfId="1207" xr:uid="{00000000-0005-0000-0000-0000C2040000}"/>
    <cellStyle name="Обычный 94 2" xfId="1208" xr:uid="{00000000-0005-0000-0000-0000C3040000}"/>
    <cellStyle name="Обычный 95" xfId="1209" xr:uid="{00000000-0005-0000-0000-0000C4040000}"/>
    <cellStyle name="Обычный 95 2" xfId="1210" xr:uid="{00000000-0005-0000-0000-0000C5040000}"/>
    <cellStyle name="Обычный 96" xfId="1211" xr:uid="{00000000-0005-0000-0000-0000C6040000}"/>
    <cellStyle name="Обычный 96 2" xfId="1212" xr:uid="{00000000-0005-0000-0000-0000C7040000}"/>
    <cellStyle name="Обычный 97" xfId="1213" xr:uid="{00000000-0005-0000-0000-0000C8040000}"/>
    <cellStyle name="Обычный 97 2" xfId="1214" xr:uid="{00000000-0005-0000-0000-0000C9040000}"/>
    <cellStyle name="Обычный 98" xfId="1215" xr:uid="{00000000-0005-0000-0000-0000CA040000}"/>
    <cellStyle name="Обычный 98 2" xfId="1216" xr:uid="{00000000-0005-0000-0000-0000CB040000}"/>
    <cellStyle name="Обычный 99" xfId="1217" xr:uid="{00000000-0005-0000-0000-0000CC040000}"/>
    <cellStyle name="Обычный 99 2" xfId="1218" xr:uid="{00000000-0005-0000-0000-0000CD040000}"/>
    <cellStyle name="Обычный_рцк" xfId="3" xr:uid="{00000000-0005-0000-0000-0000CE040000}"/>
    <cellStyle name="Обычный_Ф-2 кровля уч.356 ПЖС №3" xfId="1" xr:uid="{00000000-0005-0000-0000-0000CF040000}"/>
    <cellStyle name="Параметр" xfId="1219" xr:uid="{00000000-0005-0000-0000-0000D0040000}"/>
    <cellStyle name="ПеременныеСметы" xfId="1220" xr:uid="{00000000-0005-0000-0000-0000D1040000}"/>
    <cellStyle name="ПеременныеСметы 2" xfId="1221" xr:uid="{00000000-0005-0000-0000-0000D2040000}"/>
    <cellStyle name="ПеременныеСметы 2 2" xfId="1631" xr:uid="{00000000-0005-0000-0000-0000D3040000}"/>
    <cellStyle name="ПеременныеСметы 3" xfId="1630" xr:uid="{00000000-0005-0000-0000-0000D4040000}"/>
    <cellStyle name="Плохой 10 2" xfId="1222" xr:uid="{00000000-0005-0000-0000-0000D5040000}"/>
    <cellStyle name="Плохой 11" xfId="1223" xr:uid="{00000000-0005-0000-0000-0000D6040000}"/>
    <cellStyle name="Плохой 2" xfId="1224" xr:uid="{00000000-0005-0000-0000-0000D7040000}"/>
    <cellStyle name="Плохой 2 2" xfId="1225" xr:uid="{00000000-0005-0000-0000-0000D8040000}"/>
    <cellStyle name="Плохой 3 2" xfId="1226" xr:uid="{00000000-0005-0000-0000-0000D9040000}"/>
    <cellStyle name="Плохой 4 2" xfId="1227" xr:uid="{00000000-0005-0000-0000-0000DA040000}"/>
    <cellStyle name="Плохой 5 2" xfId="1228" xr:uid="{00000000-0005-0000-0000-0000DB040000}"/>
    <cellStyle name="Плохой 6 2" xfId="1229" xr:uid="{00000000-0005-0000-0000-0000DC040000}"/>
    <cellStyle name="Плохой 7 2" xfId="1230" xr:uid="{00000000-0005-0000-0000-0000DD040000}"/>
    <cellStyle name="Плохой 8 2" xfId="1231" xr:uid="{00000000-0005-0000-0000-0000DE040000}"/>
    <cellStyle name="Плохой 9 2" xfId="1232" xr:uid="{00000000-0005-0000-0000-0000DF040000}"/>
    <cellStyle name="Пояснение 10 2" xfId="1233" xr:uid="{00000000-0005-0000-0000-0000E0040000}"/>
    <cellStyle name="Пояснение 11" xfId="1234" xr:uid="{00000000-0005-0000-0000-0000E1040000}"/>
    <cellStyle name="Пояснение 2" xfId="1235" xr:uid="{00000000-0005-0000-0000-0000E2040000}"/>
    <cellStyle name="Пояснение 2 2" xfId="1236" xr:uid="{00000000-0005-0000-0000-0000E3040000}"/>
    <cellStyle name="Пояснение 3 2" xfId="1237" xr:uid="{00000000-0005-0000-0000-0000E4040000}"/>
    <cellStyle name="Пояснение 4 2" xfId="1238" xr:uid="{00000000-0005-0000-0000-0000E5040000}"/>
    <cellStyle name="Пояснение 5 2" xfId="1239" xr:uid="{00000000-0005-0000-0000-0000E6040000}"/>
    <cellStyle name="Пояснение 6 2" xfId="1240" xr:uid="{00000000-0005-0000-0000-0000E7040000}"/>
    <cellStyle name="Пояснение 7 2" xfId="1241" xr:uid="{00000000-0005-0000-0000-0000E8040000}"/>
    <cellStyle name="Пояснение 8 2" xfId="1242" xr:uid="{00000000-0005-0000-0000-0000E9040000}"/>
    <cellStyle name="Пояснение 9 2" xfId="1243" xr:uid="{00000000-0005-0000-0000-0000EA040000}"/>
    <cellStyle name="Примечание 10 2" xfId="1244" xr:uid="{00000000-0005-0000-0000-0000EB040000}"/>
    <cellStyle name="Примечание 10 2 2" xfId="1245" xr:uid="{00000000-0005-0000-0000-0000EC040000}"/>
    <cellStyle name="Примечание 10 2 3" xfId="1246" xr:uid="{00000000-0005-0000-0000-0000ED040000}"/>
    <cellStyle name="Примечание 10 2 4" xfId="1247" xr:uid="{00000000-0005-0000-0000-0000EE040000}"/>
    <cellStyle name="Примечание 10 2 5" xfId="1248" xr:uid="{00000000-0005-0000-0000-0000EF040000}"/>
    <cellStyle name="Примечание 10 2 6" xfId="1249" xr:uid="{00000000-0005-0000-0000-0000F0040000}"/>
    <cellStyle name="Примечание 10 2 7" xfId="1250" xr:uid="{00000000-0005-0000-0000-0000F1040000}"/>
    <cellStyle name="Примечание 11" xfId="1251" xr:uid="{00000000-0005-0000-0000-0000F2040000}"/>
    <cellStyle name="Примечание 11 2" xfId="1252" xr:uid="{00000000-0005-0000-0000-0000F3040000}"/>
    <cellStyle name="Примечание 11 3" xfId="1253" xr:uid="{00000000-0005-0000-0000-0000F4040000}"/>
    <cellStyle name="Примечание 11 4" xfId="1254" xr:uid="{00000000-0005-0000-0000-0000F5040000}"/>
    <cellStyle name="Примечание 11 5" xfId="1255" xr:uid="{00000000-0005-0000-0000-0000F6040000}"/>
    <cellStyle name="Примечание 11 6" xfId="1256" xr:uid="{00000000-0005-0000-0000-0000F7040000}"/>
    <cellStyle name="Примечание 11 7" xfId="1257" xr:uid="{00000000-0005-0000-0000-0000F8040000}"/>
    <cellStyle name="Примечание 2" xfId="1258" xr:uid="{00000000-0005-0000-0000-0000F9040000}"/>
    <cellStyle name="Примечание 2 2" xfId="1259" xr:uid="{00000000-0005-0000-0000-0000FA040000}"/>
    <cellStyle name="Примечание 2 2 2" xfId="1260" xr:uid="{00000000-0005-0000-0000-0000FB040000}"/>
    <cellStyle name="Примечание 2 2 3" xfId="1261" xr:uid="{00000000-0005-0000-0000-0000FC040000}"/>
    <cellStyle name="Примечание 2 2 4" xfId="1262" xr:uid="{00000000-0005-0000-0000-0000FD040000}"/>
    <cellStyle name="Примечание 2 2 5" xfId="1263" xr:uid="{00000000-0005-0000-0000-0000FE040000}"/>
    <cellStyle name="Примечание 2 2 6" xfId="1264" xr:uid="{00000000-0005-0000-0000-0000FF040000}"/>
    <cellStyle name="Примечание 2 2 7" xfId="1265" xr:uid="{00000000-0005-0000-0000-000000050000}"/>
    <cellStyle name="Примечание 2 3" xfId="1266" xr:uid="{00000000-0005-0000-0000-000001050000}"/>
    <cellStyle name="Примечание 2 4" xfId="1267" xr:uid="{00000000-0005-0000-0000-000002050000}"/>
    <cellStyle name="Примечание 2 5" xfId="1268" xr:uid="{00000000-0005-0000-0000-000003050000}"/>
    <cellStyle name="Примечание 2 6" xfId="1269" xr:uid="{00000000-0005-0000-0000-000004050000}"/>
    <cellStyle name="Примечание 2 7" xfId="1270" xr:uid="{00000000-0005-0000-0000-000005050000}"/>
    <cellStyle name="Примечание 2 8" xfId="1271" xr:uid="{00000000-0005-0000-0000-000006050000}"/>
    <cellStyle name="Примечание 3 2" xfId="1272" xr:uid="{00000000-0005-0000-0000-000007050000}"/>
    <cellStyle name="Примечание 3 2 2" xfId="1273" xr:uid="{00000000-0005-0000-0000-000008050000}"/>
    <cellStyle name="Примечание 3 2 3" xfId="1274" xr:uid="{00000000-0005-0000-0000-000009050000}"/>
    <cellStyle name="Примечание 3 2 4" xfId="1275" xr:uid="{00000000-0005-0000-0000-00000A050000}"/>
    <cellStyle name="Примечание 3 2 5" xfId="1276" xr:uid="{00000000-0005-0000-0000-00000B050000}"/>
    <cellStyle name="Примечание 3 2 6" xfId="1277" xr:uid="{00000000-0005-0000-0000-00000C050000}"/>
    <cellStyle name="Примечание 3 2 7" xfId="1278" xr:uid="{00000000-0005-0000-0000-00000D050000}"/>
    <cellStyle name="Примечание 4 2" xfId="1279" xr:uid="{00000000-0005-0000-0000-00000E050000}"/>
    <cellStyle name="Примечание 4 2 2" xfId="1280" xr:uid="{00000000-0005-0000-0000-00000F050000}"/>
    <cellStyle name="Примечание 4 2 3" xfId="1281" xr:uid="{00000000-0005-0000-0000-000010050000}"/>
    <cellStyle name="Примечание 4 2 4" xfId="1282" xr:uid="{00000000-0005-0000-0000-000011050000}"/>
    <cellStyle name="Примечание 4 2 5" xfId="1283" xr:uid="{00000000-0005-0000-0000-000012050000}"/>
    <cellStyle name="Примечание 4 2 6" xfId="1284" xr:uid="{00000000-0005-0000-0000-000013050000}"/>
    <cellStyle name="Примечание 4 2 7" xfId="1285" xr:uid="{00000000-0005-0000-0000-000014050000}"/>
    <cellStyle name="Примечание 5 2" xfId="1286" xr:uid="{00000000-0005-0000-0000-000015050000}"/>
    <cellStyle name="Примечание 5 2 2" xfId="1287" xr:uid="{00000000-0005-0000-0000-000016050000}"/>
    <cellStyle name="Примечание 5 2 3" xfId="1288" xr:uid="{00000000-0005-0000-0000-000017050000}"/>
    <cellStyle name="Примечание 5 2 4" xfId="1289" xr:uid="{00000000-0005-0000-0000-000018050000}"/>
    <cellStyle name="Примечание 5 2 5" xfId="1290" xr:uid="{00000000-0005-0000-0000-000019050000}"/>
    <cellStyle name="Примечание 5 2 6" xfId="1291" xr:uid="{00000000-0005-0000-0000-00001A050000}"/>
    <cellStyle name="Примечание 5 2 7" xfId="1292" xr:uid="{00000000-0005-0000-0000-00001B050000}"/>
    <cellStyle name="Примечание 6 2" xfId="1293" xr:uid="{00000000-0005-0000-0000-00001C050000}"/>
    <cellStyle name="Примечание 6 2 2" xfId="1294" xr:uid="{00000000-0005-0000-0000-00001D050000}"/>
    <cellStyle name="Примечание 6 2 3" xfId="1295" xr:uid="{00000000-0005-0000-0000-00001E050000}"/>
    <cellStyle name="Примечание 6 2 4" xfId="1296" xr:uid="{00000000-0005-0000-0000-00001F050000}"/>
    <cellStyle name="Примечание 6 2 5" xfId="1297" xr:uid="{00000000-0005-0000-0000-000020050000}"/>
    <cellStyle name="Примечание 6 2 6" xfId="1298" xr:uid="{00000000-0005-0000-0000-000021050000}"/>
    <cellStyle name="Примечание 6 2 7" xfId="1299" xr:uid="{00000000-0005-0000-0000-000022050000}"/>
    <cellStyle name="Примечание 7 2" xfId="1300" xr:uid="{00000000-0005-0000-0000-000023050000}"/>
    <cellStyle name="Примечание 7 2 2" xfId="1301" xr:uid="{00000000-0005-0000-0000-000024050000}"/>
    <cellStyle name="Примечание 7 2 3" xfId="1302" xr:uid="{00000000-0005-0000-0000-000025050000}"/>
    <cellStyle name="Примечание 7 2 4" xfId="1303" xr:uid="{00000000-0005-0000-0000-000026050000}"/>
    <cellStyle name="Примечание 7 2 5" xfId="1304" xr:uid="{00000000-0005-0000-0000-000027050000}"/>
    <cellStyle name="Примечание 7 2 6" xfId="1305" xr:uid="{00000000-0005-0000-0000-000028050000}"/>
    <cellStyle name="Примечание 7 2 7" xfId="1306" xr:uid="{00000000-0005-0000-0000-000029050000}"/>
    <cellStyle name="Примечание 8 2" xfId="1307" xr:uid="{00000000-0005-0000-0000-00002A050000}"/>
    <cellStyle name="Примечание 8 2 2" xfId="1308" xr:uid="{00000000-0005-0000-0000-00002B050000}"/>
    <cellStyle name="Примечание 8 2 3" xfId="1309" xr:uid="{00000000-0005-0000-0000-00002C050000}"/>
    <cellStyle name="Примечание 8 2 4" xfId="1310" xr:uid="{00000000-0005-0000-0000-00002D050000}"/>
    <cellStyle name="Примечание 8 2 5" xfId="1311" xr:uid="{00000000-0005-0000-0000-00002E050000}"/>
    <cellStyle name="Примечание 8 2 6" xfId="1312" xr:uid="{00000000-0005-0000-0000-00002F050000}"/>
    <cellStyle name="Примечание 8 2 7" xfId="1313" xr:uid="{00000000-0005-0000-0000-000030050000}"/>
    <cellStyle name="Примечание 9 2" xfId="1314" xr:uid="{00000000-0005-0000-0000-000031050000}"/>
    <cellStyle name="Примечание 9 2 2" xfId="1315" xr:uid="{00000000-0005-0000-0000-000032050000}"/>
    <cellStyle name="Примечание 9 2 3" xfId="1316" xr:uid="{00000000-0005-0000-0000-000033050000}"/>
    <cellStyle name="Примечание 9 2 4" xfId="1317" xr:uid="{00000000-0005-0000-0000-000034050000}"/>
    <cellStyle name="Примечание 9 2 5" xfId="1318" xr:uid="{00000000-0005-0000-0000-000035050000}"/>
    <cellStyle name="Примечание 9 2 6" xfId="1319" xr:uid="{00000000-0005-0000-0000-000036050000}"/>
    <cellStyle name="Примечание 9 2 7" xfId="1320" xr:uid="{00000000-0005-0000-0000-000037050000}"/>
    <cellStyle name="Процентный 2" xfId="1321" xr:uid="{00000000-0005-0000-0000-000038050000}"/>
    <cellStyle name="Процентный 2 2" xfId="1322" xr:uid="{00000000-0005-0000-0000-000039050000}"/>
    <cellStyle name="Процентный 3" xfId="1323" xr:uid="{00000000-0005-0000-0000-00003A050000}"/>
    <cellStyle name="Процентный 3 2" xfId="1324" xr:uid="{00000000-0005-0000-0000-00003B050000}"/>
    <cellStyle name="РесСмета" xfId="1325" xr:uid="{00000000-0005-0000-0000-00003C050000}"/>
    <cellStyle name="РесСмета 2" xfId="1326" xr:uid="{00000000-0005-0000-0000-00003D050000}"/>
    <cellStyle name="РесСмета 2 2" xfId="1633" xr:uid="{00000000-0005-0000-0000-00003E050000}"/>
    <cellStyle name="РесСмета 3" xfId="1632" xr:uid="{00000000-0005-0000-0000-00003F050000}"/>
    <cellStyle name="СводВедРес" xfId="1327" xr:uid="{00000000-0005-0000-0000-000040050000}"/>
    <cellStyle name="СводкаСтоимРаб" xfId="1328" xr:uid="{00000000-0005-0000-0000-000041050000}"/>
    <cellStyle name="СводкаСтоимРаб 2" xfId="1329" xr:uid="{00000000-0005-0000-0000-000042050000}"/>
    <cellStyle name="СводкаСтоимРаб 2 2" xfId="1635" xr:uid="{00000000-0005-0000-0000-000043050000}"/>
    <cellStyle name="СводкаСтоимРаб 3" xfId="1634" xr:uid="{00000000-0005-0000-0000-000044050000}"/>
    <cellStyle name="СводРасч" xfId="1330" xr:uid="{00000000-0005-0000-0000-000045050000}"/>
    <cellStyle name="Связанная ячейка 10 2" xfId="1331" xr:uid="{00000000-0005-0000-0000-000046050000}"/>
    <cellStyle name="Связанная ячейка 11" xfId="1332" xr:uid="{00000000-0005-0000-0000-000047050000}"/>
    <cellStyle name="Связанная ячейка 2" xfId="1333" xr:uid="{00000000-0005-0000-0000-000048050000}"/>
    <cellStyle name="Связанная ячейка 2 2" xfId="1334" xr:uid="{00000000-0005-0000-0000-000049050000}"/>
    <cellStyle name="Связанная ячейка 3 2" xfId="1335" xr:uid="{00000000-0005-0000-0000-00004A050000}"/>
    <cellStyle name="Связанная ячейка 4 2" xfId="1336" xr:uid="{00000000-0005-0000-0000-00004B050000}"/>
    <cellStyle name="Связанная ячейка 5 2" xfId="1337" xr:uid="{00000000-0005-0000-0000-00004C050000}"/>
    <cellStyle name="Связанная ячейка 6 2" xfId="1338" xr:uid="{00000000-0005-0000-0000-00004D050000}"/>
    <cellStyle name="Связанная ячейка 7 2" xfId="1339" xr:uid="{00000000-0005-0000-0000-00004E050000}"/>
    <cellStyle name="Связанная ячейка 8 2" xfId="1340" xr:uid="{00000000-0005-0000-0000-00004F050000}"/>
    <cellStyle name="Связанная ячейка 9 2" xfId="1341" xr:uid="{00000000-0005-0000-0000-000050050000}"/>
    <cellStyle name="Стиль 1" xfId="1342" xr:uid="{00000000-0005-0000-0000-000051050000}"/>
    <cellStyle name="Стиль 1 2" xfId="1343" xr:uid="{00000000-0005-0000-0000-000052050000}"/>
    <cellStyle name="Текст предупреждения 10 2" xfId="1344" xr:uid="{00000000-0005-0000-0000-000053050000}"/>
    <cellStyle name="Текст предупреждения 11" xfId="1345" xr:uid="{00000000-0005-0000-0000-000054050000}"/>
    <cellStyle name="Текст предупреждения 2" xfId="1346" xr:uid="{00000000-0005-0000-0000-000055050000}"/>
    <cellStyle name="Текст предупреждения 2 2" xfId="1347" xr:uid="{00000000-0005-0000-0000-000056050000}"/>
    <cellStyle name="Текст предупреждения 3 2" xfId="1348" xr:uid="{00000000-0005-0000-0000-000057050000}"/>
    <cellStyle name="Текст предупреждения 4 2" xfId="1349" xr:uid="{00000000-0005-0000-0000-000058050000}"/>
    <cellStyle name="Текст предупреждения 5 2" xfId="1350" xr:uid="{00000000-0005-0000-0000-000059050000}"/>
    <cellStyle name="Текст предупреждения 6 2" xfId="1351" xr:uid="{00000000-0005-0000-0000-00005A050000}"/>
    <cellStyle name="Текст предупреждения 7 2" xfId="1352" xr:uid="{00000000-0005-0000-0000-00005B050000}"/>
    <cellStyle name="Текст предупреждения 8 2" xfId="1353" xr:uid="{00000000-0005-0000-0000-00005C050000}"/>
    <cellStyle name="Текст предупреждения 9 2" xfId="1354" xr:uid="{00000000-0005-0000-0000-00005D050000}"/>
    <cellStyle name="Титул" xfId="1355" xr:uid="{00000000-0005-0000-0000-00005E050000}"/>
    <cellStyle name="Тысячи [0]_laroux" xfId="1356" xr:uid="{00000000-0005-0000-0000-00005F050000}"/>
    <cellStyle name="Тысячи_laroux" xfId="1357" xr:uid="{00000000-0005-0000-0000-000060050000}"/>
    <cellStyle name="Финансовый" xfId="2" builtinId="3"/>
    <cellStyle name="Финансовый [0] 2" xfId="1358" xr:uid="{00000000-0005-0000-0000-000062050000}"/>
    <cellStyle name="Финансовый 10" xfId="1359" xr:uid="{00000000-0005-0000-0000-000063050000}"/>
    <cellStyle name="Финансовый 10 2" xfId="1360" xr:uid="{00000000-0005-0000-0000-000064050000}"/>
    <cellStyle name="Финансовый 10 2 2" xfId="1361" xr:uid="{00000000-0005-0000-0000-000065050000}"/>
    <cellStyle name="Финансовый 10 2 3" xfId="1362" xr:uid="{00000000-0005-0000-0000-000066050000}"/>
    <cellStyle name="Финансовый 10 3" xfId="1363" xr:uid="{00000000-0005-0000-0000-000067050000}"/>
    <cellStyle name="Финансовый 10 3 2" xfId="1364" xr:uid="{00000000-0005-0000-0000-000068050000}"/>
    <cellStyle name="Финансовый 11" xfId="1365" xr:uid="{00000000-0005-0000-0000-000069050000}"/>
    <cellStyle name="Финансовый 11 2" xfId="1366" xr:uid="{00000000-0005-0000-0000-00006A050000}"/>
    <cellStyle name="Финансовый 11 2 2" xfId="1367" xr:uid="{00000000-0005-0000-0000-00006B050000}"/>
    <cellStyle name="Финансовый 11 3" xfId="1368" xr:uid="{00000000-0005-0000-0000-00006C050000}"/>
    <cellStyle name="Финансовый 11 3 2" xfId="1369" xr:uid="{00000000-0005-0000-0000-00006D050000}"/>
    <cellStyle name="Финансовый 12" xfId="1370" xr:uid="{00000000-0005-0000-0000-00006E050000}"/>
    <cellStyle name="Финансовый 12 2" xfId="1371" xr:uid="{00000000-0005-0000-0000-00006F050000}"/>
    <cellStyle name="Финансовый 12 2 2" xfId="1372" xr:uid="{00000000-0005-0000-0000-000070050000}"/>
    <cellStyle name="Финансовый 12 3" xfId="1373" xr:uid="{00000000-0005-0000-0000-000071050000}"/>
    <cellStyle name="Финансовый 12 3 2" xfId="1374" xr:uid="{00000000-0005-0000-0000-000072050000}"/>
    <cellStyle name="Финансовый 13" xfId="1375" xr:uid="{00000000-0005-0000-0000-000073050000}"/>
    <cellStyle name="Финансовый 13 2" xfId="1376" xr:uid="{00000000-0005-0000-0000-000074050000}"/>
    <cellStyle name="Финансовый 13 2 2" xfId="1377" xr:uid="{00000000-0005-0000-0000-000075050000}"/>
    <cellStyle name="Финансовый 13 3" xfId="1378" xr:uid="{00000000-0005-0000-0000-000076050000}"/>
    <cellStyle name="Финансовый 13 3 2" xfId="1379" xr:uid="{00000000-0005-0000-0000-000077050000}"/>
    <cellStyle name="Финансовый 13 4" xfId="1380" xr:uid="{00000000-0005-0000-0000-000078050000}"/>
    <cellStyle name="Финансовый 13 4 2" xfId="1381" xr:uid="{00000000-0005-0000-0000-000079050000}"/>
    <cellStyle name="Финансовый 13 5" xfId="1382" xr:uid="{00000000-0005-0000-0000-00007A050000}"/>
    <cellStyle name="Финансовый 13 6" xfId="1383" xr:uid="{00000000-0005-0000-0000-00007B050000}"/>
    <cellStyle name="Финансовый 14" xfId="1384" xr:uid="{00000000-0005-0000-0000-00007C050000}"/>
    <cellStyle name="Финансовый 14 2" xfId="1385" xr:uid="{00000000-0005-0000-0000-00007D050000}"/>
    <cellStyle name="Финансовый 14 3" xfId="1386" xr:uid="{00000000-0005-0000-0000-00007E050000}"/>
    <cellStyle name="Финансовый 14 3 2" xfId="1387" xr:uid="{00000000-0005-0000-0000-00007F050000}"/>
    <cellStyle name="Финансовый 15" xfId="1388" xr:uid="{00000000-0005-0000-0000-000080050000}"/>
    <cellStyle name="Финансовый 15 2" xfId="1389" xr:uid="{00000000-0005-0000-0000-000081050000}"/>
    <cellStyle name="Финансовый 15 3" xfId="1390" xr:uid="{00000000-0005-0000-0000-000082050000}"/>
    <cellStyle name="Финансовый 16" xfId="1391" xr:uid="{00000000-0005-0000-0000-000083050000}"/>
    <cellStyle name="Финансовый 16 2" xfId="1392" xr:uid="{00000000-0005-0000-0000-000084050000}"/>
    <cellStyle name="Финансовый 17" xfId="1393" xr:uid="{00000000-0005-0000-0000-000085050000}"/>
    <cellStyle name="Финансовый 17 2" xfId="1394" xr:uid="{00000000-0005-0000-0000-000086050000}"/>
    <cellStyle name="Финансовый 18" xfId="1395" xr:uid="{00000000-0005-0000-0000-000087050000}"/>
    <cellStyle name="Финансовый 18 2" xfId="1396" xr:uid="{00000000-0005-0000-0000-000088050000}"/>
    <cellStyle name="Финансовый 19" xfId="1397" xr:uid="{00000000-0005-0000-0000-000089050000}"/>
    <cellStyle name="Финансовый 19 2" xfId="1398" xr:uid="{00000000-0005-0000-0000-00008A050000}"/>
    <cellStyle name="Финансовый 2" xfId="1399" xr:uid="{00000000-0005-0000-0000-00008B050000}"/>
    <cellStyle name="Финансовый 2 10" xfId="1400" xr:uid="{00000000-0005-0000-0000-00008C050000}"/>
    <cellStyle name="Финансовый 2 10 2" xfId="1401" xr:uid="{00000000-0005-0000-0000-00008D050000}"/>
    <cellStyle name="Финансовый 2 11" xfId="1402" xr:uid="{00000000-0005-0000-0000-00008E050000}"/>
    <cellStyle name="Финансовый 2 11 2" xfId="1403" xr:uid="{00000000-0005-0000-0000-00008F050000}"/>
    <cellStyle name="Финансовый 2 12" xfId="1404" xr:uid="{00000000-0005-0000-0000-000090050000}"/>
    <cellStyle name="Финансовый 2 12 2" xfId="1405" xr:uid="{00000000-0005-0000-0000-000091050000}"/>
    <cellStyle name="Финансовый 2 13" xfId="1406" xr:uid="{00000000-0005-0000-0000-000092050000}"/>
    <cellStyle name="Финансовый 2 14" xfId="1407" xr:uid="{00000000-0005-0000-0000-000093050000}"/>
    <cellStyle name="Финансовый 2 15" xfId="1408" xr:uid="{00000000-0005-0000-0000-000094050000}"/>
    <cellStyle name="Финансовый 2 16" xfId="1409" xr:uid="{00000000-0005-0000-0000-000095050000}"/>
    <cellStyle name="Финансовый 2 17" xfId="1410" xr:uid="{00000000-0005-0000-0000-000096050000}"/>
    <cellStyle name="Финансовый 2 18" xfId="1411" xr:uid="{00000000-0005-0000-0000-000097050000}"/>
    <cellStyle name="Финансовый 2 19" xfId="1412" xr:uid="{00000000-0005-0000-0000-000098050000}"/>
    <cellStyle name="Финансовый 2 2" xfId="1413" xr:uid="{00000000-0005-0000-0000-000099050000}"/>
    <cellStyle name="Финансовый 2 2 10" xfId="1414" xr:uid="{00000000-0005-0000-0000-00009A050000}"/>
    <cellStyle name="Финансовый 2 2 10 2" xfId="1415" xr:uid="{00000000-0005-0000-0000-00009B050000}"/>
    <cellStyle name="Финансовый 2 2 11" xfId="1416" xr:uid="{00000000-0005-0000-0000-00009C050000}"/>
    <cellStyle name="Финансовый 2 2 11 2" xfId="1417" xr:uid="{00000000-0005-0000-0000-00009D050000}"/>
    <cellStyle name="Финансовый 2 2 12" xfId="1418" xr:uid="{00000000-0005-0000-0000-00009E050000}"/>
    <cellStyle name="Финансовый 2 2 12 2" xfId="1419" xr:uid="{00000000-0005-0000-0000-00009F050000}"/>
    <cellStyle name="Финансовый 2 2 13" xfId="1420" xr:uid="{00000000-0005-0000-0000-0000A0050000}"/>
    <cellStyle name="Финансовый 2 2 14" xfId="1421" xr:uid="{00000000-0005-0000-0000-0000A1050000}"/>
    <cellStyle name="Финансовый 2 2 15" xfId="1422" xr:uid="{00000000-0005-0000-0000-0000A2050000}"/>
    <cellStyle name="Финансовый 2 2 16" xfId="1423" xr:uid="{00000000-0005-0000-0000-0000A3050000}"/>
    <cellStyle name="Финансовый 2 2 2" xfId="1424" xr:uid="{00000000-0005-0000-0000-0000A4050000}"/>
    <cellStyle name="Финансовый 2 2 2 2" xfId="1425" xr:uid="{00000000-0005-0000-0000-0000A5050000}"/>
    <cellStyle name="Финансовый 2 2 2 2 2" xfId="1426" xr:uid="{00000000-0005-0000-0000-0000A6050000}"/>
    <cellStyle name="Финансовый 2 2 2 2 3" xfId="1427" xr:uid="{00000000-0005-0000-0000-0000A7050000}"/>
    <cellStyle name="Финансовый 2 2 2 3" xfId="1428" xr:uid="{00000000-0005-0000-0000-0000A8050000}"/>
    <cellStyle name="Финансовый 2 2 2 4" xfId="1429" xr:uid="{00000000-0005-0000-0000-0000A9050000}"/>
    <cellStyle name="Финансовый 2 2 2 5" xfId="1430" xr:uid="{00000000-0005-0000-0000-0000AA050000}"/>
    <cellStyle name="Финансовый 2 2 3" xfId="1431" xr:uid="{00000000-0005-0000-0000-0000AB050000}"/>
    <cellStyle name="Финансовый 2 2 3 2" xfId="1432" xr:uid="{00000000-0005-0000-0000-0000AC050000}"/>
    <cellStyle name="Финансовый 2 2 3 3" xfId="1433" xr:uid="{00000000-0005-0000-0000-0000AD050000}"/>
    <cellStyle name="Финансовый 2 2 4" xfId="1434" xr:uid="{00000000-0005-0000-0000-0000AE050000}"/>
    <cellStyle name="Финансовый 2 2 4 2" xfId="1435" xr:uid="{00000000-0005-0000-0000-0000AF050000}"/>
    <cellStyle name="Финансовый 2 2 5" xfId="1436" xr:uid="{00000000-0005-0000-0000-0000B0050000}"/>
    <cellStyle name="Финансовый 2 2 5 2" xfId="1437" xr:uid="{00000000-0005-0000-0000-0000B1050000}"/>
    <cellStyle name="Финансовый 2 2 6" xfId="1438" xr:uid="{00000000-0005-0000-0000-0000B2050000}"/>
    <cellStyle name="Финансовый 2 2 6 2" xfId="1439" xr:uid="{00000000-0005-0000-0000-0000B3050000}"/>
    <cellStyle name="Финансовый 2 2 7" xfId="1440" xr:uid="{00000000-0005-0000-0000-0000B4050000}"/>
    <cellStyle name="Финансовый 2 2 7 2" xfId="1441" xr:uid="{00000000-0005-0000-0000-0000B5050000}"/>
    <cellStyle name="Финансовый 2 2 8" xfId="1442" xr:uid="{00000000-0005-0000-0000-0000B6050000}"/>
    <cellStyle name="Финансовый 2 2 8 2" xfId="1443" xr:uid="{00000000-0005-0000-0000-0000B7050000}"/>
    <cellStyle name="Финансовый 2 2 9" xfId="1444" xr:uid="{00000000-0005-0000-0000-0000B8050000}"/>
    <cellStyle name="Финансовый 2 2 9 2" xfId="1445" xr:uid="{00000000-0005-0000-0000-0000B9050000}"/>
    <cellStyle name="Финансовый 2 20" xfId="1446" xr:uid="{00000000-0005-0000-0000-0000BA050000}"/>
    <cellStyle name="Финансовый 2 21" xfId="1447" xr:uid="{00000000-0005-0000-0000-0000BB050000}"/>
    <cellStyle name="Финансовый 2 22" xfId="1448" xr:uid="{00000000-0005-0000-0000-0000BC050000}"/>
    <cellStyle name="Финансовый 2 23" xfId="1449" xr:uid="{00000000-0005-0000-0000-0000BD050000}"/>
    <cellStyle name="Финансовый 2 3" xfId="1450" xr:uid="{00000000-0005-0000-0000-0000BE050000}"/>
    <cellStyle name="Финансовый 2 3 2" xfId="1451" xr:uid="{00000000-0005-0000-0000-0000BF050000}"/>
    <cellStyle name="Финансовый 2 3 3" xfId="1452" xr:uid="{00000000-0005-0000-0000-0000C0050000}"/>
    <cellStyle name="Финансовый 2 4" xfId="1453" xr:uid="{00000000-0005-0000-0000-0000C1050000}"/>
    <cellStyle name="Финансовый 2 4 2" xfId="1454" xr:uid="{00000000-0005-0000-0000-0000C2050000}"/>
    <cellStyle name="Финансовый 2 4 3" xfId="1455" xr:uid="{00000000-0005-0000-0000-0000C3050000}"/>
    <cellStyle name="Финансовый 2 5" xfId="1456" xr:uid="{00000000-0005-0000-0000-0000C4050000}"/>
    <cellStyle name="Финансовый 2 5 2" xfId="1457" xr:uid="{00000000-0005-0000-0000-0000C5050000}"/>
    <cellStyle name="Финансовый 2 6" xfId="1458" xr:uid="{00000000-0005-0000-0000-0000C6050000}"/>
    <cellStyle name="Финансовый 2 6 2" xfId="1459" xr:uid="{00000000-0005-0000-0000-0000C7050000}"/>
    <cellStyle name="Финансовый 2 7" xfId="1460" xr:uid="{00000000-0005-0000-0000-0000C8050000}"/>
    <cellStyle name="Финансовый 2 7 2" xfId="1461" xr:uid="{00000000-0005-0000-0000-0000C9050000}"/>
    <cellStyle name="Финансовый 2 8" xfId="1462" xr:uid="{00000000-0005-0000-0000-0000CA050000}"/>
    <cellStyle name="Финансовый 2 8 2" xfId="1463" xr:uid="{00000000-0005-0000-0000-0000CB050000}"/>
    <cellStyle name="Финансовый 2 9" xfId="1464" xr:uid="{00000000-0005-0000-0000-0000CC050000}"/>
    <cellStyle name="Финансовый 2 9 2" xfId="1465" xr:uid="{00000000-0005-0000-0000-0000CD050000}"/>
    <cellStyle name="Финансовый 2_металл Сергею 15.10.09" xfId="1466" xr:uid="{00000000-0005-0000-0000-0000CE050000}"/>
    <cellStyle name="Финансовый 20" xfId="1467" xr:uid="{00000000-0005-0000-0000-0000CF050000}"/>
    <cellStyle name="Финансовый 20 2" xfId="1468" xr:uid="{00000000-0005-0000-0000-0000D0050000}"/>
    <cellStyle name="Финансовый 21" xfId="1469" xr:uid="{00000000-0005-0000-0000-0000D1050000}"/>
    <cellStyle name="Финансовый 21 2" xfId="1470" xr:uid="{00000000-0005-0000-0000-0000D2050000}"/>
    <cellStyle name="Финансовый 22" xfId="1471" xr:uid="{00000000-0005-0000-0000-0000D3050000}"/>
    <cellStyle name="Финансовый 22 2" xfId="1472" xr:uid="{00000000-0005-0000-0000-0000D4050000}"/>
    <cellStyle name="Финансовый 23" xfId="1473" xr:uid="{00000000-0005-0000-0000-0000D5050000}"/>
    <cellStyle name="Финансовый 23 2" xfId="1474" xr:uid="{00000000-0005-0000-0000-0000D6050000}"/>
    <cellStyle name="Финансовый 24" xfId="1475" xr:uid="{00000000-0005-0000-0000-0000D7050000}"/>
    <cellStyle name="Финансовый 24 2" xfId="1476" xr:uid="{00000000-0005-0000-0000-0000D8050000}"/>
    <cellStyle name="Финансовый 25" xfId="1477" xr:uid="{00000000-0005-0000-0000-0000D9050000}"/>
    <cellStyle name="Финансовый 25 2" xfId="1478" xr:uid="{00000000-0005-0000-0000-0000DA050000}"/>
    <cellStyle name="Финансовый 26" xfId="1479" xr:uid="{00000000-0005-0000-0000-0000DB050000}"/>
    <cellStyle name="Финансовый 26 2" xfId="1480" xr:uid="{00000000-0005-0000-0000-0000DC050000}"/>
    <cellStyle name="Финансовый 27" xfId="1481" xr:uid="{00000000-0005-0000-0000-0000DD050000}"/>
    <cellStyle name="Финансовый 28" xfId="1482" xr:uid="{00000000-0005-0000-0000-0000DE050000}"/>
    <cellStyle name="Финансовый 28 2" xfId="1483" xr:uid="{00000000-0005-0000-0000-0000DF050000}"/>
    <cellStyle name="Финансовый 29" xfId="1484" xr:uid="{00000000-0005-0000-0000-0000E0050000}"/>
    <cellStyle name="Финансовый 29 2" xfId="1485" xr:uid="{00000000-0005-0000-0000-0000E1050000}"/>
    <cellStyle name="Финансовый 3" xfId="1486" xr:uid="{00000000-0005-0000-0000-0000E2050000}"/>
    <cellStyle name="Финансовый 3 10" xfId="1487" xr:uid="{00000000-0005-0000-0000-0000E3050000}"/>
    <cellStyle name="Финансовый 3 11" xfId="1488" xr:uid="{00000000-0005-0000-0000-0000E4050000}"/>
    <cellStyle name="Финансовый 3 12" xfId="1489" xr:uid="{00000000-0005-0000-0000-0000E5050000}"/>
    <cellStyle name="Финансовый 3 13" xfId="1490" xr:uid="{00000000-0005-0000-0000-0000E6050000}"/>
    <cellStyle name="Финансовый 3 14" xfId="1491" xr:uid="{00000000-0005-0000-0000-0000E7050000}"/>
    <cellStyle name="Финансовый 3 15" xfId="1492" xr:uid="{00000000-0005-0000-0000-0000E8050000}"/>
    <cellStyle name="Финансовый 3 16" xfId="1493" xr:uid="{00000000-0005-0000-0000-0000E9050000}"/>
    <cellStyle name="Финансовый 3 17" xfId="1494" xr:uid="{00000000-0005-0000-0000-0000EA050000}"/>
    <cellStyle name="Финансовый 3 18" xfId="1495" xr:uid="{00000000-0005-0000-0000-0000EB050000}"/>
    <cellStyle name="Финансовый 3 19" xfId="1496" xr:uid="{00000000-0005-0000-0000-0000EC050000}"/>
    <cellStyle name="Финансовый 3 2" xfId="1497" xr:uid="{00000000-0005-0000-0000-0000ED050000}"/>
    <cellStyle name="Финансовый 3 2 2" xfId="1498" xr:uid="{00000000-0005-0000-0000-0000EE050000}"/>
    <cellStyle name="Финансовый 3 2 2 2" xfId="1499" xr:uid="{00000000-0005-0000-0000-0000EF050000}"/>
    <cellStyle name="Финансовый 3 2 2 2 2" xfId="1500" xr:uid="{00000000-0005-0000-0000-0000F0050000}"/>
    <cellStyle name="Финансовый 3 2 2 2 2 2" xfId="1501" xr:uid="{00000000-0005-0000-0000-0000F1050000}"/>
    <cellStyle name="Финансовый 3 2 2 2 2 2 2" xfId="1502" xr:uid="{00000000-0005-0000-0000-0000F2050000}"/>
    <cellStyle name="Финансовый 3 2 2 2 2 3" xfId="1503" xr:uid="{00000000-0005-0000-0000-0000F3050000}"/>
    <cellStyle name="Финансовый 3 2 2 2 3" xfId="1504" xr:uid="{00000000-0005-0000-0000-0000F4050000}"/>
    <cellStyle name="Финансовый 3 2 2 3" xfId="1505" xr:uid="{00000000-0005-0000-0000-0000F5050000}"/>
    <cellStyle name="Финансовый 3 2 2 4" xfId="1506" xr:uid="{00000000-0005-0000-0000-0000F6050000}"/>
    <cellStyle name="Финансовый 3 2 3" xfId="1507" xr:uid="{00000000-0005-0000-0000-0000F7050000}"/>
    <cellStyle name="Финансовый 3 2 3 2" xfId="1508" xr:uid="{00000000-0005-0000-0000-0000F8050000}"/>
    <cellStyle name="Финансовый 3 2 4" xfId="1509" xr:uid="{00000000-0005-0000-0000-0000F9050000}"/>
    <cellStyle name="Финансовый 3 2 4 2" xfId="1510" xr:uid="{00000000-0005-0000-0000-0000FA050000}"/>
    <cellStyle name="Финансовый 3 2 5" xfId="1511" xr:uid="{00000000-0005-0000-0000-0000FB050000}"/>
    <cellStyle name="Финансовый 3 2 5 2" xfId="1512" xr:uid="{00000000-0005-0000-0000-0000FC050000}"/>
    <cellStyle name="Финансовый 3 2 6" xfId="1513" xr:uid="{00000000-0005-0000-0000-0000FD050000}"/>
    <cellStyle name="Финансовый 3 2 6 2" xfId="1514" xr:uid="{00000000-0005-0000-0000-0000FE050000}"/>
    <cellStyle name="Финансовый 3 2 7" xfId="1515" xr:uid="{00000000-0005-0000-0000-0000FF050000}"/>
    <cellStyle name="Финансовый 3 2 7 2" xfId="1516" xr:uid="{00000000-0005-0000-0000-000000060000}"/>
    <cellStyle name="Финансовый 3 2 8" xfId="1517" xr:uid="{00000000-0005-0000-0000-000001060000}"/>
    <cellStyle name="Финансовый 3 2 8 2" xfId="1518" xr:uid="{00000000-0005-0000-0000-000002060000}"/>
    <cellStyle name="Финансовый 3 2 9" xfId="1519" xr:uid="{00000000-0005-0000-0000-000003060000}"/>
    <cellStyle name="Финансовый 3 20" xfId="1520" xr:uid="{00000000-0005-0000-0000-000004060000}"/>
    <cellStyle name="Финансовый 3 21" xfId="1521" xr:uid="{00000000-0005-0000-0000-000005060000}"/>
    <cellStyle name="Финансовый 3 22" xfId="1522" xr:uid="{00000000-0005-0000-0000-000006060000}"/>
    <cellStyle name="Финансовый 3 22 2" xfId="1523" xr:uid="{00000000-0005-0000-0000-000007060000}"/>
    <cellStyle name="Финансовый 3 3" xfId="1524" xr:uid="{00000000-0005-0000-0000-000008060000}"/>
    <cellStyle name="Финансовый 3 3 2" xfId="1525" xr:uid="{00000000-0005-0000-0000-000009060000}"/>
    <cellStyle name="Финансовый 3 4" xfId="1526" xr:uid="{00000000-0005-0000-0000-00000A060000}"/>
    <cellStyle name="Финансовый 3 4 2" xfId="1527" xr:uid="{00000000-0005-0000-0000-00000B060000}"/>
    <cellStyle name="Финансовый 3 4 2 2" xfId="1528" xr:uid="{00000000-0005-0000-0000-00000C060000}"/>
    <cellStyle name="Финансовый 3 4 3" xfId="1529" xr:uid="{00000000-0005-0000-0000-00000D060000}"/>
    <cellStyle name="Финансовый 3 5" xfId="1530" xr:uid="{00000000-0005-0000-0000-00000E060000}"/>
    <cellStyle name="Финансовый 3 6" xfId="1531" xr:uid="{00000000-0005-0000-0000-00000F060000}"/>
    <cellStyle name="Финансовый 3 7" xfId="1532" xr:uid="{00000000-0005-0000-0000-000010060000}"/>
    <cellStyle name="Финансовый 3 8" xfId="1533" xr:uid="{00000000-0005-0000-0000-000011060000}"/>
    <cellStyle name="Финансовый 3 9" xfId="1534" xr:uid="{00000000-0005-0000-0000-000012060000}"/>
    <cellStyle name="Финансовый 30" xfId="1535" xr:uid="{00000000-0005-0000-0000-000013060000}"/>
    <cellStyle name="Финансовый 31" xfId="1536" xr:uid="{00000000-0005-0000-0000-000014060000}"/>
    <cellStyle name="Финансовый 32" xfId="1537" xr:uid="{00000000-0005-0000-0000-000015060000}"/>
    <cellStyle name="Финансовый 33" xfId="1538" xr:uid="{00000000-0005-0000-0000-000016060000}"/>
    <cellStyle name="Финансовый 34" xfId="1539" xr:uid="{00000000-0005-0000-0000-000017060000}"/>
    <cellStyle name="Финансовый 35" xfId="1540" xr:uid="{00000000-0005-0000-0000-000018060000}"/>
    <cellStyle name="Финансовый 36" xfId="1541" xr:uid="{00000000-0005-0000-0000-000019060000}"/>
    <cellStyle name="Финансовый 37" xfId="1542" xr:uid="{00000000-0005-0000-0000-00001A060000}"/>
    <cellStyle name="Финансовый 38" xfId="1543" xr:uid="{00000000-0005-0000-0000-00001B060000}"/>
    <cellStyle name="Финансовый 39" xfId="1544" xr:uid="{00000000-0005-0000-0000-00001C060000}"/>
    <cellStyle name="Финансовый 4" xfId="1545" xr:uid="{00000000-0005-0000-0000-00001D060000}"/>
    <cellStyle name="Финансовый 4 10" xfId="1546" xr:uid="{00000000-0005-0000-0000-00001E060000}"/>
    <cellStyle name="Финансовый 4 11" xfId="1547" xr:uid="{00000000-0005-0000-0000-00001F060000}"/>
    <cellStyle name="Финансовый 4 12" xfId="1548" xr:uid="{00000000-0005-0000-0000-000020060000}"/>
    <cellStyle name="Финансовый 4 13" xfId="1549" xr:uid="{00000000-0005-0000-0000-000021060000}"/>
    <cellStyle name="Финансовый 4 14" xfId="1550" xr:uid="{00000000-0005-0000-0000-000022060000}"/>
    <cellStyle name="Финансовый 4 15" xfId="1551" xr:uid="{00000000-0005-0000-0000-000023060000}"/>
    <cellStyle name="Финансовый 4 2" xfId="1552" xr:uid="{00000000-0005-0000-0000-000024060000}"/>
    <cellStyle name="Финансовый 4 2 2" xfId="1553" xr:uid="{00000000-0005-0000-0000-000025060000}"/>
    <cellStyle name="Финансовый 4 2 3" xfId="1554" xr:uid="{00000000-0005-0000-0000-000026060000}"/>
    <cellStyle name="Финансовый 4 3" xfId="1555" xr:uid="{00000000-0005-0000-0000-000027060000}"/>
    <cellStyle name="Финансовый 4 4" xfId="1556" xr:uid="{00000000-0005-0000-0000-000028060000}"/>
    <cellStyle name="Финансовый 4 5" xfId="1557" xr:uid="{00000000-0005-0000-0000-000029060000}"/>
    <cellStyle name="Финансовый 4 6" xfId="1558" xr:uid="{00000000-0005-0000-0000-00002A060000}"/>
    <cellStyle name="Финансовый 4 7" xfId="1559" xr:uid="{00000000-0005-0000-0000-00002B060000}"/>
    <cellStyle name="Финансовый 4 8" xfId="1560" xr:uid="{00000000-0005-0000-0000-00002C060000}"/>
    <cellStyle name="Финансовый 4 9" xfId="1561" xr:uid="{00000000-0005-0000-0000-00002D060000}"/>
    <cellStyle name="Финансовый 40" xfId="1562" xr:uid="{00000000-0005-0000-0000-00002E060000}"/>
    <cellStyle name="Финансовый 41" xfId="1563" xr:uid="{00000000-0005-0000-0000-00002F060000}"/>
    <cellStyle name="Финансовый 42" xfId="1564" xr:uid="{00000000-0005-0000-0000-000030060000}"/>
    <cellStyle name="Финансовый 43" xfId="1565" xr:uid="{00000000-0005-0000-0000-000031060000}"/>
    <cellStyle name="Финансовый 44" xfId="1566" xr:uid="{00000000-0005-0000-0000-000032060000}"/>
    <cellStyle name="Финансовый 5" xfId="1567" xr:uid="{00000000-0005-0000-0000-000033060000}"/>
    <cellStyle name="Финансовый 5 2" xfId="1568" xr:uid="{00000000-0005-0000-0000-000034060000}"/>
    <cellStyle name="Финансовый 5 2 2" xfId="1569" xr:uid="{00000000-0005-0000-0000-000035060000}"/>
    <cellStyle name="Финансовый 5 2 2 2" xfId="1570" xr:uid="{00000000-0005-0000-0000-000036060000}"/>
    <cellStyle name="Финансовый 5 3" xfId="1571" xr:uid="{00000000-0005-0000-0000-000037060000}"/>
    <cellStyle name="Финансовый 5 4" xfId="1572" xr:uid="{00000000-0005-0000-0000-000038060000}"/>
    <cellStyle name="Финансовый 5 5" xfId="1573" xr:uid="{00000000-0005-0000-0000-000039060000}"/>
    <cellStyle name="Финансовый 5 6" xfId="1574" xr:uid="{00000000-0005-0000-0000-00003A060000}"/>
    <cellStyle name="Финансовый 5 6 2" xfId="1575" xr:uid="{00000000-0005-0000-0000-00003B060000}"/>
    <cellStyle name="Финансовый 6" xfId="1576" xr:uid="{00000000-0005-0000-0000-00003C060000}"/>
    <cellStyle name="Финансовый 6 2" xfId="1577" xr:uid="{00000000-0005-0000-0000-00003D060000}"/>
    <cellStyle name="Финансовый 6 2 2" xfId="1578" xr:uid="{00000000-0005-0000-0000-00003E060000}"/>
    <cellStyle name="Финансовый 6 3" xfId="1579" xr:uid="{00000000-0005-0000-0000-00003F060000}"/>
    <cellStyle name="Финансовый 6 4" xfId="1580" xr:uid="{00000000-0005-0000-0000-000040060000}"/>
    <cellStyle name="Финансовый 6 4 2" xfId="1581" xr:uid="{00000000-0005-0000-0000-000041060000}"/>
    <cellStyle name="Финансовый 6 5" xfId="1582" xr:uid="{00000000-0005-0000-0000-000042060000}"/>
    <cellStyle name="Финансовый 7" xfId="1583" xr:uid="{00000000-0005-0000-0000-000043060000}"/>
    <cellStyle name="Финансовый 7 2" xfId="1584" xr:uid="{00000000-0005-0000-0000-000044060000}"/>
    <cellStyle name="Финансовый 7 3" xfId="1585" xr:uid="{00000000-0005-0000-0000-000045060000}"/>
    <cellStyle name="Финансовый 8" xfId="1586" xr:uid="{00000000-0005-0000-0000-000046060000}"/>
    <cellStyle name="Финансовый 8 2" xfId="1587" xr:uid="{00000000-0005-0000-0000-000047060000}"/>
    <cellStyle name="Финансовый 8 2 2" xfId="1588" xr:uid="{00000000-0005-0000-0000-000048060000}"/>
    <cellStyle name="Финансовый 8 2 2 2" xfId="1589" xr:uid="{00000000-0005-0000-0000-000049060000}"/>
    <cellStyle name="Финансовый 8 3" xfId="1590" xr:uid="{00000000-0005-0000-0000-00004A060000}"/>
    <cellStyle name="Финансовый 8 4" xfId="1591" xr:uid="{00000000-0005-0000-0000-00004B060000}"/>
    <cellStyle name="Финансовый 8 4 2" xfId="1592" xr:uid="{00000000-0005-0000-0000-00004C060000}"/>
    <cellStyle name="Финансовый 9" xfId="1593" xr:uid="{00000000-0005-0000-0000-00004D060000}"/>
    <cellStyle name="Финансовый 9 2" xfId="1594" xr:uid="{00000000-0005-0000-0000-00004E060000}"/>
    <cellStyle name="Финансовый 9 2 2" xfId="1595" xr:uid="{00000000-0005-0000-0000-00004F060000}"/>
    <cellStyle name="Финансовый 9 2 2 2" xfId="1596" xr:uid="{00000000-0005-0000-0000-000050060000}"/>
    <cellStyle name="Финансовый 9 3" xfId="1597" xr:uid="{00000000-0005-0000-0000-000051060000}"/>
    <cellStyle name="Финансовый 9 4" xfId="1598" xr:uid="{00000000-0005-0000-0000-000052060000}"/>
    <cellStyle name="Финансовый 9 5" xfId="1599" xr:uid="{00000000-0005-0000-0000-000053060000}"/>
    <cellStyle name="Финансовый 9 5 2" xfId="1600" xr:uid="{00000000-0005-0000-0000-000054060000}"/>
    <cellStyle name="Хвост" xfId="1601" xr:uid="{00000000-0005-0000-0000-000055060000}"/>
    <cellStyle name="Хороший 10 2" xfId="1602" xr:uid="{00000000-0005-0000-0000-000056060000}"/>
    <cellStyle name="Хороший 11" xfId="1603" xr:uid="{00000000-0005-0000-0000-000057060000}"/>
    <cellStyle name="Хороший 2" xfId="1604" xr:uid="{00000000-0005-0000-0000-000058060000}"/>
    <cellStyle name="Хороший 2 2" xfId="1605" xr:uid="{00000000-0005-0000-0000-000059060000}"/>
    <cellStyle name="Хороший 3 2" xfId="1606" xr:uid="{00000000-0005-0000-0000-00005A060000}"/>
    <cellStyle name="Хороший 4 2" xfId="1607" xr:uid="{00000000-0005-0000-0000-00005B060000}"/>
    <cellStyle name="Хороший 5 2" xfId="1608" xr:uid="{00000000-0005-0000-0000-00005C060000}"/>
    <cellStyle name="Хороший 6 2" xfId="1609" xr:uid="{00000000-0005-0000-0000-00005D060000}"/>
    <cellStyle name="Хороший 7 2" xfId="1610" xr:uid="{00000000-0005-0000-0000-00005E060000}"/>
    <cellStyle name="Хороший 8 2" xfId="1611" xr:uid="{00000000-0005-0000-0000-00005F060000}"/>
    <cellStyle name="Хороший 9 2" xfId="1612" xr:uid="{00000000-0005-0000-0000-000060060000}"/>
    <cellStyle name="Ценник" xfId="1613" xr:uid="{00000000-0005-0000-0000-000061060000}"/>
    <cellStyle name="Ценник 2" xfId="1614" xr:uid="{00000000-0005-0000-0000-000062060000}"/>
    <cellStyle name="Ценник 2 2" xfId="1637" xr:uid="{00000000-0005-0000-0000-000063060000}"/>
    <cellStyle name="Ценник 3" xfId="1636" xr:uid="{00000000-0005-0000-0000-000064060000}"/>
    <cellStyle name="Экспертиза" xfId="1615" xr:uid="{00000000-0005-0000-0000-000065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7</xdr:row>
      <xdr:rowOff>85726</xdr:rowOff>
    </xdr:from>
    <xdr:to>
      <xdr:col>6</xdr:col>
      <xdr:colOff>3105150</xdr:colOff>
      <xdr:row>7</xdr:row>
      <xdr:rowOff>2590800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11D574F5-4129-47D9-8DD0-DC88DFF15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1" y="2105026"/>
          <a:ext cx="3038474" cy="2505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view="pageBreakPreview" workbookViewId="0">
      <selection activeCell="G8" sqref="G8"/>
    </sheetView>
  </sheetViews>
  <sheetFormatPr defaultRowHeight="15" outlineLevelRow="1" x14ac:dyDescent="0.25"/>
  <cols>
    <col min="1" max="1" width="6.28515625" style="1" customWidth="1"/>
    <col min="2" max="2" width="54.140625" style="1" customWidth="1"/>
    <col min="3" max="3" width="9.140625" style="1"/>
    <col min="4" max="4" width="14.5703125" style="1" bestFit="1" customWidth="1"/>
    <col min="5" max="5" width="17.28515625" style="1" customWidth="1"/>
    <col min="6" max="6" width="18.140625" style="1" customWidth="1"/>
    <col min="7" max="7" width="48" style="1" customWidth="1"/>
    <col min="8" max="16384" width="9.140625" style="1"/>
  </cols>
  <sheetData>
    <row r="1" spans="1:8" ht="49.5" customHeight="1" x14ac:dyDescent="0.25">
      <c r="A1" s="49" t="s">
        <v>0</v>
      </c>
      <c r="B1" s="49"/>
      <c r="C1" s="49"/>
      <c r="D1" s="49"/>
      <c r="E1" s="49"/>
      <c r="F1" s="49"/>
      <c r="G1" s="49"/>
    </row>
    <row r="2" spans="1:8" x14ac:dyDescent="0.25">
      <c r="A2" s="50" t="s">
        <v>1</v>
      </c>
      <c r="B2" s="50"/>
      <c r="C2" s="50"/>
      <c r="D2" s="50"/>
      <c r="E2" s="50"/>
      <c r="F2" s="50"/>
      <c r="G2" s="50"/>
    </row>
    <row r="3" spans="1:8" x14ac:dyDescent="0.25">
      <c r="A3" s="50" t="s">
        <v>24</v>
      </c>
      <c r="B3" s="50"/>
      <c r="C3" s="50"/>
      <c r="D3" s="50"/>
      <c r="E3" s="50"/>
      <c r="F3" s="50"/>
      <c r="G3" s="50"/>
    </row>
    <row r="4" spans="1:8" ht="18.75" customHeight="1" x14ac:dyDescent="0.25">
      <c r="A4" s="51" t="s">
        <v>266</v>
      </c>
      <c r="B4" s="52"/>
      <c r="C4" s="52"/>
      <c r="D4" s="52"/>
      <c r="E4" s="52"/>
      <c r="F4" s="52"/>
      <c r="G4" s="52"/>
    </row>
    <row r="5" spans="1:8" x14ac:dyDescent="0.25">
      <c r="A5" s="41"/>
      <c r="B5" s="41"/>
      <c r="C5" s="41"/>
      <c r="D5" s="41"/>
      <c r="E5" s="41"/>
      <c r="F5" s="41"/>
      <c r="G5" s="41"/>
    </row>
    <row r="6" spans="1:8" ht="30.75" customHeight="1" x14ac:dyDescent="0.25">
      <c r="A6" s="2" t="s">
        <v>2</v>
      </c>
      <c r="B6" s="3" t="s">
        <v>3</v>
      </c>
      <c r="C6" s="2" t="s">
        <v>4</v>
      </c>
      <c r="D6" s="3" t="s">
        <v>5</v>
      </c>
      <c r="E6" s="4" t="s">
        <v>6</v>
      </c>
      <c r="F6" s="4" t="s">
        <v>7</v>
      </c>
      <c r="G6" s="3" t="s">
        <v>8</v>
      </c>
    </row>
    <row r="7" spans="1:8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</row>
    <row r="8" spans="1:8" s="12" customFormat="1" ht="209.25" customHeight="1" outlineLevel="1" x14ac:dyDescent="0.25">
      <c r="A8" s="10" t="s">
        <v>19</v>
      </c>
      <c r="B8" s="42" t="s">
        <v>270</v>
      </c>
      <c r="C8" s="45" t="s">
        <v>37</v>
      </c>
      <c r="D8" s="14">
        <v>52</v>
      </c>
      <c r="E8" s="43"/>
      <c r="F8" s="43">
        <f t="shared" ref="F8" si="0">E8*D8</f>
        <v>0</v>
      </c>
      <c r="G8" s="44"/>
    </row>
    <row r="9" spans="1:8" x14ac:dyDescent="0.25">
      <c r="A9" s="53" t="s">
        <v>265</v>
      </c>
      <c r="B9" s="53"/>
      <c r="C9" s="53"/>
      <c r="D9" s="53"/>
      <c r="E9" s="53"/>
      <c r="F9" s="47">
        <f>SUM(F8:F8)</f>
        <v>0</v>
      </c>
      <c r="G9" s="40"/>
    </row>
    <row r="10" spans="1:8" x14ac:dyDescent="0.25">
      <c r="A10" s="53" t="s">
        <v>268</v>
      </c>
      <c r="B10" s="53"/>
      <c r="C10" s="53"/>
      <c r="D10" s="53"/>
      <c r="E10" s="53"/>
      <c r="F10" s="47">
        <f>F9*0.2</f>
        <v>0</v>
      </c>
      <c r="G10" s="40"/>
    </row>
    <row r="11" spans="1:8" x14ac:dyDescent="0.25">
      <c r="A11" s="53" t="s">
        <v>269</v>
      </c>
      <c r="B11" s="53"/>
      <c r="C11" s="53"/>
      <c r="D11" s="53"/>
      <c r="E11" s="53"/>
      <c r="F11" s="46">
        <f>F10+F9</f>
        <v>0</v>
      </c>
      <c r="G11" s="40"/>
    </row>
    <row r="13" spans="1:8" x14ac:dyDescent="0.25">
      <c r="B13" s="1" t="s">
        <v>267</v>
      </c>
    </row>
    <row r="15" spans="1:8" ht="105" customHeight="1" x14ac:dyDescent="0.25">
      <c r="B15" s="6" t="s">
        <v>17</v>
      </c>
      <c r="F15" s="48" t="s">
        <v>18</v>
      </c>
      <c r="G15" s="48"/>
      <c r="H15" s="7"/>
    </row>
    <row r="17" spans="2:6" ht="102.75" customHeight="1" x14ac:dyDescent="0.25">
      <c r="B17" s="8"/>
      <c r="F17" s="9"/>
    </row>
  </sheetData>
  <mergeCells count="8">
    <mergeCell ref="F15:G15"/>
    <mergeCell ref="A1:G1"/>
    <mergeCell ref="A2:G2"/>
    <mergeCell ref="A3:G3"/>
    <mergeCell ref="A4:G4"/>
    <mergeCell ref="A9:E9"/>
    <mergeCell ref="A10:E10"/>
    <mergeCell ref="A11:E11"/>
  </mergeCells>
  <phoneticPr fontId="57" type="noConversion"/>
  <pageMargins left="0.39370078740157477" right="0.39370078740157477" top="0.78740157480314954" bottom="0.39370078740157477" header="0.31496062992125984" footer="0.31496062992125984"/>
  <pageSetup paperSize="9" scale="47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1"/>
  <sheetViews>
    <sheetView view="pageBreakPreview" workbookViewId="0">
      <selection activeCell="A154" sqref="A154:E154"/>
    </sheetView>
  </sheetViews>
  <sheetFormatPr defaultRowHeight="15" outlineLevelRow="1" x14ac:dyDescent="0.25"/>
  <cols>
    <col min="1" max="1" width="8" style="1" customWidth="1"/>
    <col min="2" max="2" width="46.85546875" style="1" customWidth="1"/>
    <col min="3" max="3" width="9.140625" style="1"/>
    <col min="4" max="4" width="14.5703125" style="1" bestFit="1" customWidth="1"/>
    <col min="5" max="5" width="17.28515625" style="1" customWidth="1"/>
    <col min="6" max="6" width="18.140625" style="1" customWidth="1"/>
    <col min="7" max="7" width="39.5703125" style="1" customWidth="1"/>
    <col min="8" max="8" width="28.42578125" style="34" customWidth="1"/>
    <col min="9" max="16384" width="9.140625" style="1"/>
  </cols>
  <sheetData>
    <row r="1" spans="1:8" ht="49.5" customHeight="1" x14ac:dyDescent="0.25">
      <c r="A1" s="49" t="s">
        <v>0</v>
      </c>
      <c r="B1" s="49"/>
      <c r="C1" s="49"/>
      <c r="D1" s="49"/>
      <c r="E1" s="49"/>
      <c r="F1" s="49"/>
      <c r="G1" s="49"/>
    </row>
    <row r="2" spans="1:8" x14ac:dyDescent="0.25">
      <c r="A2" s="50" t="s">
        <v>1</v>
      </c>
      <c r="B2" s="50"/>
      <c r="C2" s="50"/>
      <c r="D2" s="50"/>
      <c r="E2" s="50"/>
      <c r="F2" s="50"/>
      <c r="G2" s="50"/>
    </row>
    <row r="3" spans="1:8" x14ac:dyDescent="0.25">
      <c r="A3" s="50" t="s">
        <v>24</v>
      </c>
      <c r="B3" s="50"/>
      <c r="C3" s="50"/>
      <c r="D3" s="50"/>
      <c r="E3" s="50"/>
      <c r="F3" s="50"/>
      <c r="G3" s="50"/>
    </row>
    <row r="4" spans="1:8" ht="18.75" customHeight="1" x14ac:dyDescent="0.25">
      <c r="A4" s="57" t="s">
        <v>30</v>
      </c>
      <c r="B4" s="52"/>
      <c r="C4" s="52"/>
      <c r="D4" s="52"/>
      <c r="E4" s="52"/>
      <c r="F4" s="52"/>
      <c r="G4" s="52"/>
    </row>
    <row r="5" spans="1:8" x14ac:dyDescent="0.25">
      <c r="A5" s="13"/>
      <c r="B5" s="13"/>
      <c r="C5" s="13"/>
      <c r="D5" s="13"/>
      <c r="E5" s="13"/>
      <c r="F5" s="13"/>
      <c r="G5" s="13"/>
    </row>
    <row r="6" spans="1:8" ht="30.75" customHeight="1" x14ac:dyDescent="0.25">
      <c r="A6" s="18" t="s">
        <v>2</v>
      </c>
      <c r="B6" s="4" t="s">
        <v>3</v>
      </c>
      <c r="C6" s="18" t="s">
        <v>4</v>
      </c>
      <c r="D6" s="4" t="s">
        <v>5</v>
      </c>
      <c r="E6" s="4" t="s">
        <v>6</v>
      </c>
      <c r="F6" s="4" t="s">
        <v>7</v>
      </c>
      <c r="G6" s="28" t="s">
        <v>8</v>
      </c>
    </row>
    <row r="7" spans="1:8" ht="19.5" customHeight="1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29">
        <v>7</v>
      </c>
    </row>
    <row r="8" spans="1:8" s="12" customFormat="1" outlineLevel="1" x14ac:dyDescent="0.25">
      <c r="A8" s="55" t="s">
        <v>39</v>
      </c>
      <c r="B8" s="56"/>
      <c r="C8" s="56"/>
      <c r="D8" s="56"/>
      <c r="E8" s="56"/>
      <c r="F8" s="56"/>
      <c r="G8" s="56"/>
      <c r="H8" s="35"/>
    </row>
    <row r="9" spans="1:8" s="12" customFormat="1" ht="38.25" outlineLevel="1" x14ac:dyDescent="0.25">
      <c r="A9" s="26" t="s">
        <v>10</v>
      </c>
      <c r="B9" s="15" t="s">
        <v>31</v>
      </c>
      <c r="C9" s="19" t="s">
        <v>35</v>
      </c>
      <c r="D9" s="20">
        <f>SUM(D10:D14)</f>
        <v>864.125</v>
      </c>
      <c r="E9" s="27"/>
      <c r="F9" s="27">
        <f t="shared" ref="F9:F59" si="0">E9*D9</f>
        <v>0</v>
      </c>
      <c r="G9" s="31"/>
      <c r="H9" s="36"/>
    </row>
    <row r="10" spans="1:8" s="12" customFormat="1" ht="25.5" outlineLevel="1" x14ac:dyDescent="0.25">
      <c r="A10" s="10" t="s">
        <v>20</v>
      </c>
      <c r="B10" s="16" t="s">
        <v>40</v>
      </c>
      <c r="C10" s="21" t="s">
        <v>41</v>
      </c>
      <c r="D10" s="22">
        <f>(4.25+8.25)/2*2*21.04</f>
        <v>263</v>
      </c>
      <c r="E10" s="11"/>
      <c r="F10" s="11"/>
      <c r="G10" s="30"/>
      <c r="H10" s="37"/>
    </row>
    <row r="11" spans="1:8" s="12" customFormat="1" ht="38.25" outlineLevel="1" x14ac:dyDescent="0.25">
      <c r="A11" s="10" t="s">
        <v>11</v>
      </c>
      <c r="B11" s="16" t="s">
        <v>42</v>
      </c>
      <c r="C11" s="21" t="s">
        <v>41</v>
      </c>
      <c r="D11" s="22">
        <f>(4.25+8.25)/2*2*0.47</f>
        <v>5.875</v>
      </c>
      <c r="E11" s="11"/>
      <c r="F11" s="11"/>
      <c r="G11" s="30"/>
      <c r="H11" s="37"/>
    </row>
    <row r="12" spans="1:8" s="12" customFormat="1" ht="25.5" outlineLevel="1" x14ac:dyDescent="0.25">
      <c r="A12" s="10" t="s">
        <v>21</v>
      </c>
      <c r="B12" s="16" t="s">
        <v>43</v>
      </c>
      <c r="C12" s="21" t="s">
        <v>41</v>
      </c>
      <c r="D12" s="22">
        <f>(4.25+8.25)/2*2*34.2</f>
        <v>427.50000000000006</v>
      </c>
      <c r="E12" s="11"/>
      <c r="F12" s="11"/>
      <c r="G12" s="30"/>
      <c r="H12" s="37"/>
    </row>
    <row r="13" spans="1:8" s="12" customFormat="1" ht="38.25" outlineLevel="1" x14ac:dyDescent="0.25">
      <c r="A13" s="10" t="s">
        <v>12</v>
      </c>
      <c r="B13" s="16" t="s">
        <v>44</v>
      </c>
      <c r="C13" s="21" t="s">
        <v>41</v>
      </c>
      <c r="D13" s="22">
        <f>(4.25+8.25)/2*2*3.56</f>
        <v>44.5</v>
      </c>
      <c r="E13" s="11"/>
      <c r="F13" s="11"/>
      <c r="G13" s="30"/>
      <c r="H13" s="37"/>
    </row>
    <row r="14" spans="1:8" s="12" customFormat="1" ht="25.5" outlineLevel="1" x14ac:dyDescent="0.25">
      <c r="A14" s="10" t="s">
        <v>22</v>
      </c>
      <c r="B14" s="16" t="s">
        <v>45</v>
      </c>
      <c r="C14" s="21" t="s">
        <v>41</v>
      </c>
      <c r="D14" s="22">
        <f>(4.25+8.25)/2*2*9.86</f>
        <v>123.25</v>
      </c>
      <c r="E14" s="11"/>
      <c r="F14" s="11"/>
      <c r="G14" s="30"/>
      <c r="H14" s="37"/>
    </row>
    <row r="15" spans="1:8" s="12" customFormat="1" ht="25.5" outlineLevel="1" x14ac:dyDescent="0.25">
      <c r="A15" s="26" t="s">
        <v>9</v>
      </c>
      <c r="B15" s="15" t="s">
        <v>32</v>
      </c>
      <c r="C15" s="19" t="s">
        <v>36</v>
      </c>
      <c r="D15" s="20">
        <f>SUM(D16:D20)</f>
        <v>273.5675</v>
      </c>
      <c r="E15" s="27"/>
      <c r="F15" s="27">
        <f t="shared" si="0"/>
        <v>0</v>
      </c>
      <c r="G15" s="31"/>
      <c r="H15" s="36"/>
    </row>
    <row r="16" spans="1:8" s="12" customFormat="1" ht="15.75" outlineLevel="1" x14ac:dyDescent="0.25">
      <c r="A16" s="10" t="s">
        <v>23</v>
      </c>
      <c r="B16" s="16" t="s">
        <v>46</v>
      </c>
      <c r="C16" s="21" t="s">
        <v>47</v>
      </c>
      <c r="D16" s="22">
        <f>4.05*21.04</f>
        <v>85.211999999999989</v>
      </c>
      <c r="E16" s="11"/>
      <c r="F16" s="11"/>
      <c r="G16" s="30"/>
      <c r="H16" s="37"/>
    </row>
    <row r="17" spans="1:8" s="12" customFormat="1" ht="15.75" outlineLevel="1" x14ac:dyDescent="0.25">
      <c r="A17" s="10" t="s">
        <v>25</v>
      </c>
      <c r="B17" s="16" t="s">
        <v>48</v>
      </c>
      <c r="C17" s="21" t="s">
        <v>47</v>
      </c>
      <c r="D17" s="22">
        <f>4.05*0.47</f>
        <v>1.9034999999999997</v>
      </c>
      <c r="E17" s="11"/>
      <c r="F17" s="11"/>
      <c r="G17" s="30"/>
      <c r="H17" s="37"/>
    </row>
    <row r="18" spans="1:8" s="12" customFormat="1" ht="15.75" outlineLevel="1" x14ac:dyDescent="0.25">
      <c r="A18" s="10" t="s">
        <v>26</v>
      </c>
      <c r="B18" s="16" t="s">
        <v>49</v>
      </c>
      <c r="C18" s="21" t="s">
        <v>47</v>
      </c>
      <c r="D18" s="22">
        <f>4.05*34.2</f>
        <v>138.51000000000002</v>
      </c>
      <c r="E18" s="11"/>
      <c r="F18" s="11"/>
      <c r="G18" s="30"/>
      <c r="H18" s="37"/>
    </row>
    <row r="19" spans="1:8" s="12" customFormat="1" ht="15.75" outlineLevel="1" x14ac:dyDescent="0.25">
      <c r="A19" s="10" t="s">
        <v>27</v>
      </c>
      <c r="B19" s="16" t="s">
        <v>50</v>
      </c>
      <c r="C19" s="21" t="s">
        <v>47</v>
      </c>
      <c r="D19" s="22">
        <f>4.05*3.56</f>
        <v>14.417999999999999</v>
      </c>
      <c r="E19" s="11"/>
      <c r="F19" s="11"/>
      <c r="G19" s="30"/>
      <c r="H19" s="37"/>
    </row>
    <row r="20" spans="1:8" s="12" customFormat="1" ht="15.75" outlineLevel="1" x14ac:dyDescent="0.25">
      <c r="A20" s="10" t="s">
        <v>28</v>
      </c>
      <c r="B20" s="16" t="s">
        <v>51</v>
      </c>
      <c r="C20" s="21" t="s">
        <v>47</v>
      </c>
      <c r="D20" s="22">
        <f>3.4*9.86</f>
        <v>33.523999999999994</v>
      </c>
      <c r="E20" s="11"/>
      <c r="F20" s="11"/>
      <c r="G20" s="30"/>
      <c r="H20" s="37"/>
    </row>
    <row r="21" spans="1:8" s="12" customFormat="1" ht="25.5" outlineLevel="1" x14ac:dyDescent="0.25">
      <c r="A21" s="26" t="s">
        <v>29</v>
      </c>
      <c r="B21" s="15" t="s">
        <v>52</v>
      </c>
      <c r="C21" s="19" t="s">
        <v>35</v>
      </c>
      <c r="D21" s="20">
        <f>D25+D28+D31+D34+D22</f>
        <v>27.356750000000005</v>
      </c>
      <c r="E21" s="27"/>
      <c r="F21" s="27">
        <f t="shared" si="0"/>
        <v>0</v>
      </c>
      <c r="G21" s="31"/>
      <c r="H21" s="36"/>
    </row>
    <row r="22" spans="1:8" s="12" customFormat="1" ht="25.5" outlineLevel="1" x14ac:dyDescent="0.25">
      <c r="A22" s="10" t="s">
        <v>38</v>
      </c>
      <c r="B22" s="16" t="s">
        <v>53</v>
      </c>
      <c r="C22" s="21" t="s">
        <v>41</v>
      </c>
      <c r="D22" s="22">
        <f>D23</f>
        <v>8.5211999999999986</v>
      </c>
      <c r="E22" s="11"/>
      <c r="F22" s="11"/>
      <c r="G22" s="30"/>
      <c r="H22" s="37"/>
    </row>
    <row r="23" spans="1:8" s="12" customFormat="1" ht="15.75" outlineLevel="1" x14ac:dyDescent="0.25">
      <c r="A23" s="10" t="s">
        <v>134</v>
      </c>
      <c r="B23" s="17" t="s">
        <v>54</v>
      </c>
      <c r="C23" s="23" t="s">
        <v>35</v>
      </c>
      <c r="D23" s="24">
        <f>D16*0.1</f>
        <v>8.5211999999999986</v>
      </c>
      <c r="E23" s="11"/>
      <c r="F23" s="11"/>
      <c r="G23" s="30"/>
      <c r="H23" s="38" t="s">
        <v>55</v>
      </c>
    </row>
    <row r="24" spans="1:8" s="12" customFormat="1" ht="25.5" outlineLevel="1" x14ac:dyDescent="0.25">
      <c r="A24" s="10" t="s">
        <v>135</v>
      </c>
      <c r="B24" s="17" t="s">
        <v>56</v>
      </c>
      <c r="C24" s="23" t="s">
        <v>58</v>
      </c>
      <c r="D24" s="24">
        <f>D16*0.8</f>
        <v>68.169599999999988</v>
      </c>
      <c r="E24" s="11"/>
      <c r="F24" s="11"/>
      <c r="G24" s="30"/>
      <c r="H24" s="38" t="s">
        <v>57</v>
      </c>
    </row>
    <row r="25" spans="1:8" s="12" customFormat="1" ht="25.5" outlineLevel="1" x14ac:dyDescent="0.25">
      <c r="A25" s="10" t="s">
        <v>136</v>
      </c>
      <c r="B25" s="16" t="s">
        <v>59</v>
      </c>
      <c r="C25" s="21" t="s">
        <v>41</v>
      </c>
      <c r="D25" s="22">
        <f>D26</f>
        <v>0.19034999999999999</v>
      </c>
      <c r="E25" s="11"/>
      <c r="F25" s="11"/>
      <c r="G25" s="30"/>
      <c r="H25" s="37"/>
    </row>
    <row r="26" spans="1:8" s="12" customFormat="1" ht="15.75" outlineLevel="1" x14ac:dyDescent="0.25">
      <c r="A26" s="10" t="s">
        <v>137</v>
      </c>
      <c r="B26" s="17" t="s">
        <v>54</v>
      </c>
      <c r="C26" s="23" t="s">
        <v>35</v>
      </c>
      <c r="D26" s="24">
        <f>D17*0.1</f>
        <v>0.19034999999999999</v>
      </c>
      <c r="E26" s="11"/>
      <c r="F26" s="11"/>
      <c r="G26" s="30"/>
      <c r="H26" s="38" t="s">
        <v>55</v>
      </c>
    </row>
    <row r="27" spans="1:8" s="12" customFormat="1" ht="25.5" outlineLevel="1" x14ac:dyDescent="0.25">
      <c r="A27" s="10" t="s">
        <v>138</v>
      </c>
      <c r="B27" s="17" t="s">
        <v>56</v>
      </c>
      <c r="C27" s="23" t="s">
        <v>58</v>
      </c>
      <c r="D27" s="24">
        <f>D17*0.8</f>
        <v>1.5227999999999999</v>
      </c>
      <c r="E27" s="11"/>
      <c r="F27" s="11"/>
      <c r="G27" s="30"/>
      <c r="H27" s="38" t="s">
        <v>57</v>
      </c>
    </row>
    <row r="28" spans="1:8" s="12" customFormat="1" ht="25.5" outlineLevel="1" x14ac:dyDescent="0.25">
      <c r="A28" s="10" t="s">
        <v>139</v>
      </c>
      <c r="B28" s="16" t="s">
        <v>60</v>
      </c>
      <c r="C28" s="21" t="s">
        <v>41</v>
      </c>
      <c r="D28" s="22">
        <f>D29</f>
        <v>13.851000000000003</v>
      </c>
      <c r="E28" s="11"/>
      <c r="F28" s="11"/>
      <c r="G28" s="30"/>
      <c r="H28" s="37"/>
    </row>
    <row r="29" spans="1:8" s="12" customFormat="1" ht="15.75" outlineLevel="1" x14ac:dyDescent="0.25">
      <c r="A29" s="10" t="s">
        <v>140</v>
      </c>
      <c r="B29" s="17" t="s">
        <v>54</v>
      </c>
      <c r="C29" s="23" t="s">
        <v>35</v>
      </c>
      <c r="D29" s="24">
        <f>D18*0.1</f>
        <v>13.851000000000003</v>
      </c>
      <c r="E29" s="11"/>
      <c r="F29" s="11"/>
      <c r="G29" s="30"/>
      <c r="H29" s="38" t="s">
        <v>55</v>
      </c>
    </row>
    <row r="30" spans="1:8" s="12" customFormat="1" ht="25.5" outlineLevel="1" x14ac:dyDescent="0.25">
      <c r="A30" s="10" t="s">
        <v>141</v>
      </c>
      <c r="B30" s="17" t="s">
        <v>56</v>
      </c>
      <c r="C30" s="23" t="s">
        <v>58</v>
      </c>
      <c r="D30" s="24">
        <f>D18*0.8</f>
        <v>110.80800000000002</v>
      </c>
      <c r="E30" s="11"/>
      <c r="F30" s="11"/>
      <c r="G30" s="30"/>
      <c r="H30" s="38" t="s">
        <v>57</v>
      </c>
    </row>
    <row r="31" spans="1:8" s="12" customFormat="1" ht="25.5" outlineLevel="1" x14ac:dyDescent="0.25">
      <c r="A31" s="10" t="s">
        <v>142</v>
      </c>
      <c r="B31" s="16" t="s">
        <v>61</v>
      </c>
      <c r="C31" s="21" t="s">
        <v>41</v>
      </c>
      <c r="D31" s="22">
        <f>D32</f>
        <v>1.4418</v>
      </c>
      <c r="E31" s="11"/>
      <c r="F31" s="11"/>
      <c r="G31" s="30"/>
      <c r="H31" s="37"/>
    </row>
    <row r="32" spans="1:8" s="12" customFormat="1" ht="15.75" outlineLevel="1" x14ac:dyDescent="0.25">
      <c r="A32" s="10" t="s">
        <v>143</v>
      </c>
      <c r="B32" s="17" t="s">
        <v>54</v>
      </c>
      <c r="C32" s="23" t="s">
        <v>35</v>
      </c>
      <c r="D32" s="24">
        <f>D19*0.1</f>
        <v>1.4418</v>
      </c>
      <c r="E32" s="11"/>
      <c r="F32" s="11"/>
      <c r="G32" s="30"/>
      <c r="H32" s="38" t="s">
        <v>55</v>
      </c>
    </row>
    <row r="33" spans="1:8" s="12" customFormat="1" ht="25.5" outlineLevel="1" x14ac:dyDescent="0.25">
      <c r="A33" s="10" t="s">
        <v>144</v>
      </c>
      <c r="B33" s="17" t="s">
        <v>56</v>
      </c>
      <c r="C33" s="23" t="s">
        <v>58</v>
      </c>
      <c r="D33" s="24">
        <f>D19*0.8</f>
        <v>11.5344</v>
      </c>
      <c r="E33" s="11"/>
      <c r="F33" s="11"/>
      <c r="G33" s="30"/>
      <c r="H33" s="38" t="s">
        <v>57</v>
      </c>
    </row>
    <row r="34" spans="1:8" s="12" customFormat="1" ht="25.5" outlineLevel="1" x14ac:dyDescent="0.25">
      <c r="A34" s="10" t="s">
        <v>145</v>
      </c>
      <c r="B34" s="16" t="s">
        <v>62</v>
      </c>
      <c r="C34" s="21" t="s">
        <v>41</v>
      </c>
      <c r="D34" s="22">
        <f>D35</f>
        <v>3.3523999999999994</v>
      </c>
      <c r="E34" s="11"/>
      <c r="F34" s="11"/>
      <c r="G34" s="30"/>
      <c r="H34" s="37"/>
    </row>
    <row r="35" spans="1:8" s="12" customFormat="1" ht="15.75" outlineLevel="1" x14ac:dyDescent="0.25">
      <c r="A35" s="10" t="s">
        <v>146</v>
      </c>
      <c r="B35" s="17" t="s">
        <v>54</v>
      </c>
      <c r="C35" s="23" t="s">
        <v>35</v>
      </c>
      <c r="D35" s="24">
        <f>D20*0.1</f>
        <v>3.3523999999999994</v>
      </c>
      <c r="E35" s="11"/>
      <c r="F35" s="11"/>
      <c r="G35" s="30"/>
      <c r="H35" s="38" t="s">
        <v>55</v>
      </c>
    </row>
    <row r="36" spans="1:8" s="12" customFormat="1" ht="25.5" outlineLevel="1" x14ac:dyDescent="0.25">
      <c r="A36" s="10" t="s">
        <v>147</v>
      </c>
      <c r="B36" s="17" t="s">
        <v>56</v>
      </c>
      <c r="C36" s="23" t="s">
        <v>58</v>
      </c>
      <c r="D36" s="24">
        <f>D20*0.8</f>
        <v>26.819199999999995</v>
      </c>
      <c r="E36" s="11"/>
      <c r="F36" s="11"/>
      <c r="G36" s="30"/>
      <c r="H36" s="38" t="s">
        <v>57</v>
      </c>
    </row>
    <row r="37" spans="1:8" s="12" customFormat="1" ht="25.5" outlineLevel="1" x14ac:dyDescent="0.25">
      <c r="A37" s="26" t="s">
        <v>148</v>
      </c>
      <c r="B37" s="15" t="s">
        <v>63</v>
      </c>
      <c r="C37" s="19" t="s">
        <v>35</v>
      </c>
      <c r="D37" s="20">
        <f>D40+D42+D44+D46+D38</f>
        <v>45.138637500000002</v>
      </c>
      <c r="E37" s="27"/>
      <c r="F37" s="27">
        <f t="shared" si="0"/>
        <v>0</v>
      </c>
      <c r="G37" s="31"/>
      <c r="H37" s="36"/>
    </row>
    <row r="38" spans="1:8" s="12" customFormat="1" ht="25.5" outlineLevel="1" x14ac:dyDescent="0.25">
      <c r="A38" s="10" t="s">
        <v>149</v>
      </c>
      <c r="B38" s="16" t="s">
        <v>64</v>
      </c>
      <c r="C38" s="21" t="s">
        <v>41</v>
      </c>
      <c r="D38" s="22">
        <f>D39</f>
        <v>14.059979999999999</v>
      </c>
      <c r="E38" s="11"/>
      <c r="F38" s="11"/>
      <c r="G38" s="30"/>
      <c r="H38" s="37"/>
    </row>
    <row r="39" spans="1:8" s="12" customFormat="1" ht="15.75" outlineLevel="1" x14ac:dyDescent="0.25">
      <c r="A39" s="10" t="s">
        <v>150</v>
      </c>
      <c r="B39" s="17" t="s">
        <v>65</v>
      </c>
      <c r="C39" s="23" t="s">
        <v>35</v>
      </c>
      <c r="D39" s="24">
        <f>D16*0.15*1.1</f>
        <v>14.059979999999999</v>
      </c>
      <c r="E39" s="11"/>
      <c r="F39" s="11"/>
      <c r="G39" s="30"/>
      <c r="H39" s="38" t="s">
        <v>55</v>
      </c>
    </row>
    <row r="40" spans="1:8" s="12" customFormat="1" ht="25.5" outlineLevel="1" x14ac:dyDescent="0.25">
      <c r="A40" s="10" t="s">
        <v>151</v>
      </c>
      <c r="B40" s="16" t="s">
        <v>66</v>
      </c>
      <c r="C40" s="21" t="s">
        <v>41</v>
      </c>
      <c r="D40" s="22">
        <f>D41</f>
        <v>0.31407750000000001</v>
      </c>
      <c r="E40" s="11"/>
      <c r="F40" s="11"/>
      <c r="G40" s="30"/>
      <c r="H40" s="37"/>
    </row>
    <row r="41" spans="1:8" s="12" customFormat="1" ht="15.75" outlineLevel="1" x14ac:dyDescent="0.25">
      <c r="A41" s="10" t="s">
        <v>152</v>
      </c>
      <c r="B41" s="17" t="s">
        <v>65</v>
      </c>
      <c r="C41" s="23" t="s">
        <v>35</v>
      </c>
      <c r="D41" s="24">
        <f>D17*0.15*1.1</f>
        <v>0.31407750000000001</v>
      </c>
      <c r="E41" s="11"/>
      <c r="F41" s="11"/>
      <c r="G41" s="30"/>
      <c r="H41" s="38" t="s">
        <v>55</v>
      </c>
    </row>
    <row r="42" spans="1:8" s="12" customFormat="1" ht="25.5" outlineLevel="1" x14ac:dyDescent="0.25">
      <c r="A42" s="10" t="s">
        <v>153</v>
      </c>
      <c r="B42" s="16" t="s">
        <v>67</v>
      </c>
      <c r="C42" s="21" t="s">
        <v>41</v>
      </c>
      <c r="D42" s="22">
        <f>D43</f>
        <v>22.854150000000004</v>
      </c>
      <c r="E42" s="11"/>
      <c r="F42" s="11"/>
      <c r="G42" s="30"/>
      <c r="H42" s="37"/>
    </row>
    <row r="43" spans="1:8" s="12" customFormat="1" ht="15.75" outlineLevel="1" x14ac:dyDescent="0.25">
      <c r="A43" s="10" t="s">
        <v>154</v>
      </c>
      <c r="B43" s="17" t="s">
        <v>65</v>
      </c>
      <c r="C43" s="23" t="s">
        <v>35</v>
      </c>
      <c r="D43" s="24">
        <f>D18*0.15*1.1</f>
        <v>22.854150000000004</v>
      </c>
      <c r="E43" s="11"/>
      <c r="F43" s="11"/>
      <c r="G43" s="30"/>
      <c r="H43" s="38" t="s">
        <v>55</v>
      </c>
    </row>
    <row r="44" spans="1:8" s="12" customFormat="1" ht="25.5" outlineLevel="1" x14ac:dyDescent="0.25">
      <c r="A44" s="10" t="s">
        <v>155</v>
      </c>
      <c r="B44" s="16" t="s">
        <v>68</v>
      </c>
      <c r="C44" s="21" t="s">
        <v>41</v>
      </c>
      <c r="D44" s="22">
        <f>D45</f>
        <v>2.3789699999999998</v>
      </c>
      <c r="E44" s="11"/>
      <c r="F44" s="11"/>
      <c r="G44" s="30"/>
      <c r="H44" s="37"/>
    </row>
    <row r="45" spans="1:8" s="12" customFormat="1" ht="15.75" outlineLevel="1" x14ac:dyDescent="0.25">
      <c r="A45" s="10" t="s">
        <v>156</v>
      </c>
      <c r="B45" s="17" t="s">
        <v>65</v>
      </c>
      <c r="C45" s="23" t="s">
        <v>35</v>
      </c>
      <c r="D45" s="24">
        <f>D19*0.15*1.1</f>
        <v>2.3789699999999998</v>
      </c>
      <c r="E45" s="11"/>
      <c r="F45" s="11"/>
      <c r="G45" s="30"/>
      <c r="H45" s="38" t="s">
        <v>55</v>
      </c>
    </row>
    <row r="46" spans="1:8" s="12" customFormat="1" ht="25.5" outlineLevel="1" x14ac:dyDescent="0.25">
      <c r="A46" s="10" t="s">
        <v>157</v>
      </c>
      <c r="B46" s="16" t="s">
        <v>69</v>
      </c>
      <c r="C46" s="21" t="s">
        <v>41</v>
      </c>
      <c r="D46" s="22">
        <f>D47</f>
        <v>5.5314599999999992</v>
      </c>
      <c r="E46" s="11"/>
      <c r="F46" s="11"/>
      <c r="G46" s="30"/>
      <c r="H46" s="37"/>
    </row>
    <row r="47" spans="1:8" s="12" customFormat="1" ht="15.75" outlineLevel="1" x14ac:dyDescent="0.25">
      <c r="A47" s="10" t="s">
        <v>158</v>
      </c>
      <c r="B47" s="17" t="s">
        <v>65</v>
      </c>
      <c r="C47" s="23" t="s">
        <v>35</v>
      </c>
      <c r="D47" s="24">
        <f>D20*0.15*1.1</f>
        <v>5.5314599999999992</v>
      </c>
      <c r="E47" s="11"/>
      <c r="F47" s="11"/>
      <c r="G47" s="30"/>
      <c r="H47" s="38" t="s">
        <v>55</v>
      </c>
    </row>
    <row r="48" spans="1:8" s="12" customFormat="1" ht="38.25" outlineLevel="1" x14ac:dyDescent="0.25">
      <c r="A48" s="26" t="s">
        <v>159</v>
      </c>
      <c r="B48" s="15" t="s">
        <v>33</v>
      </c>
      <c r="C48" s="19" t="s">
        <v>35</v>
      </c>
      <c r="D48" s="20">
        <f>D51+D53+D55+D57+D49</f>
        <v>54.71350000000001</v>
      </c>
      <c r="E48" s="27"/>
      <c r="F48" s="27">
        <f t="shared" si="0"/>
        <v>0</v>
      </c>
      <c r="G48" s="31"/>
      <c r="H48" s="36"/>
    </row>
    <row r="49" spans="1:8" s="12" customFormat="1" ht="25.5" outlineLevel="1" x14ac:dyDescent="0.25">
      <c r="A49" s="10" t="s">
        <v>160</v>
      </c>
      <c r="B49" s="16" t="s">
        <v>70</v>
      </c>
      <c r="C49" s="21" t="s">
        <v>41</v>
      </c>
      <c r="D49" s="22">
        <f>D50</f>
        <v>17.042399999999997</v>
      </c>
      <c r="E49" s="11"/>
      <c r="F49" s="11"/>
      <c r="G49" s="30"/>
      <c r="H49" s="37"/>
    </row>
    <row r="50" spans="1:8" s="12" customFormat="1" ht="25.5" outlineLevel="1" x14ac:dyDescent="0.25">
      <c r="A50" s="10" t="s">
        <v>161</v>
      </c>
      <c r="B50" s="17" t="s">
        <v>71</v>
      </c>
      <c r="C50" s="23" t="s">
        <v>35</v>
      </c>
      <c r="D50" s="24">
        <f>D16*0.2</f>
        <v>17.042399999999997</v>
      </c>
      <c r="E50" s="11"/>
      <c r="F50" s="11"/>
      <c r="G50" s="30"/>
      <c r="H50" s="38" t="s">
        <v>55</v>
      </c>
    </row>
    <row r="51" spans="1:8" s="12" customFormat="1" ht="25.5" outlineLevel="1" x14ac:dyDescent="0.25">
      <c r="A51" s="10" t="s">
        <v>162</v>
      </c>
      <c r="B51" s="16" t="s">
        <v>72</v>
      </c>
      <c r="C51" s="21" t="s">
        <v>41</v>
      </c>
      <c r="D51" s="22">
        <f>D52</f>
        <v>0.38069999999999998</v>
      </c>
      <c r="E51" s="11"/>
      <c r="F51" s="11"/>
      <c r="G51" s="30"/>
      <c r="H51" s="37"/>
    </row>
    <row r="52" spans="1:8" s="12" customFormat="1" ht="25.5" outlineLevel="1" x14ac:dyDescent="0.25">
      <c r="A52" s="10" t="s">
        <v>163</v>
      </c>
      <c r="B52" s="17" t="s">
        <v>71</v>
      </c>
      <c r="C52" s="23" t="s">
        <v>35</v>
      </c>
      <c r="D52" s="24">
        <f>D17*0.2</f>
        <v>0.38069999999999998</v>
      </c>
      <c r="E52" s="11"/>
      <c r="F52" s="11"/>
      <c r="G52" s="30"/>
      <c r="H52" s="38" t="s">
        <v>55</v>
      </c>
    </row>
    <row r="53" spans="1:8" s="12" customFormat="1" ht="25.5" outlineLevel="1" x14ac:dyDescent="0.25">
      <c r="A53" s="10" t="s">
        <v>164</v>
      </c>
      <c r="B53" s="16" t="s">
        <v>73</v>
      </c>
      <c r="C53" s="21" t="s">
        <v>41</v>
      </c>
      <c r="D53" s="22">
        <f>D54</f>
        <v>27.702000000000005</v>
      </c>
      <c r="E53" s="11"/>
      <c r="F53" s="11"/>
      <c r="G53" s="30"/>
      <c r="H53" s="37"/>
    </row>
    <row r="54" spans="1:8" s="12" customFormat="1" ht="25.5" outlineLevel="1" x14ac:dyDescent="0.25">
      <c r="A54" s="10" t="s">
        <v>165</v>
      </c>
      <c r="B54" s="17" t="s">
        <v>71</v>
      </c>
      <c r="C54" s="23" t="s">
        <v>35</v>
      </c>
      <c r="D54" s="24">
        <f>D18*0.2</f>
        <v>27.702000000000005</v>
      </c>
      <c r="E54" s="11"/>
      <c r="F54" s="11"/>
      <c r="G54" s="30"/>
      <c r="H54" s="38" t="s">
        <v>55</v>
      </c>
    </row>
    <row r="55" spans="1:8" s="12" customFormat="1" ht="25.5" outlineLevel="1" x14ac:dyDescent="0.25">
      <c r="A55" s="10" t="s">
        <v>166</v>
      </c>
      <c r="B55" s="16" t="s">
        <v>74</v>
      </c>
      <c r="C55" s="21" t="s">
        <v>41</v>
      </c>
      <c r="D55" s="22">
        <f>D56</f>
        <v>2.8835999999999999</v>
      </c>
      <c r="E55" s="11"/>
      <c r="F55" s="11"/>
      <c r="G55" s="30"/>
      <c r="H55" s="37"/>
    </row>
    <row r="56" spans="1:8" s="12" customFormat="1" ht="25.5" outlineLevel="1" x14ac:dyDescent="0.25">
      <c r="A56" s="10" t="s">
        <v>167</v>
      </c>
      <c r="B56" s="17" t="s">
        <v>71</v>
      </c>
      <c r="C56" s="23" t="s">
        <v>35</v>
      </c>
      <c r="D56" s="24">
        <f>D19*0.2</f>
        <v>2.8835999999999999</v>
      </c>
      <c r="E56" s="11"/>
      <c r="F56" s="11"/>
      <c r="G56" s="30"/>
      <c r="H56" s="38" t="s">
        <v>55</v>
      </c>
    </row>
    <row r="57" spans="1:8" s="12" customFormat="1" ht="25.5" outlineLevel="1" x14ac:dyDescent="0.25">
      <c r="A57" s="10" t="s">
        <v>168</v>
      </c>
      <c r="B57" s="16" t="s">
        <v>75</v>
      </c>
      <c r="C57" s="21" t="s">
        <v>41</v>
      </c>
      <c r="D57" s="22">
        <f>D58</f>
        <v>6.7047999999999988</v>
      </c>
      <c r="E57" s="11"/>
      <c r="F57" s="11"/>
      <c r="G57" s="30"/>
      <c r="H57" s="37"/>
    </row>
    <row r="58" spans="1:8" s="12" customFormat="1" ht="25.5" outlineLevel="1" x14ac:dyDescent="0.25">
      <c r="A58" s="10" t="s">
        <v>169</v>
      </c>
      <c r="B58" s="17" t="s">
        <v>71</v>
      </c>
      <c r="C58" s="23" t="s">
        <v>35</v>
      </c>
      <c r="D58" s="24">
        <f>D20*0.2</f>
        <v>6.7047999999999988</v>
      </c>
      <c r="E58" s="11"/>
      <c r="F58" s="11"/>
      <c r="G58" s="30"/>
      <c r="H58" s="38" t="s">
        <v>55</v>
      </c>
    </row>
    <row r="59" spans="1:8" s="12" customFormat="1" ht="38.25" outlineLevel="1" x14ac:dyDescent="0.25">
      <c r="A59" s="26" t="s">
        <v>170</v>
      </c>
      <c r="B59" s="15" t="s">
        <v>76</v>
      </c>
      <c r="C59" s="19" t="s">
        <v>77</v>
      </c>
      <c r="D59" s="20">
        <v>1</v>
      </c>
      <c r="E59" s="27"/>
      <c r="F59" s="27">
        <f t="shared" si="0"/>
        <v>0</v>
      </c>
      <c r="G59" s="31"/>
      <c r="H59" s="36"/>
    </row>
    <row r="60" spans="1:8" s="12" customFormat="1" ht="15.75" outlineLevel="1" x14ac:dyDescent="0.25">
      <c r="A60" s="10" t="s">
        <v>171</v>
      </c>
      <c r="B60" s="16" t="s">
        <v>78</v>
      </c>
      <c r="C60" s="21" t="s">
        <v>41</v>
      </c>
      <c r="D60" s="22">
        <f>21.04*3.05*0.1</f>
        <v>6.4172000000000002</v>
      </c>
      <c r="E60" s="11"/>
      <c r="F60" s="11"/>
      <c r="G60" s="30"/>
      <c r="H60" s="37"/>
    </row>
    <row r="61" spans="1:8" s="12" customFormat="1" ht="15.75" outlineLevel="1" x14ac:dyDescent="0.25">
      <c r="A61" s="10" t="s">
        <v>172</v>
      </c>
      <c r="B61" s="17" t="s">
        <v>79</v>
      </c>
      <c r="C61" s="23" t="s">
        <v>35</v>
      </c>
      <c r="D61" s="24">
        <f>D60*1.02</f>
        <v>6.5455440000000005</v>
      </c>
      <c r="E61" s="11"/>
      <c r="F61" s="11"/>
      <c r="G61" s="30"/>
      <c r="H61" s="38" t="s">
        <v>55</v>
      </c>
    </row>
    <row r="62" spans="1:8" s="12" customFormat="1" ht="15.75" outlineLevel="1" x14ac:dyDescent="0.25">
      <c r="A62" s="10" t="s">
        <v>173</v>
      </c>
      <c r="B62" s="16" t="s">
        <v>80</v>
      </c>
      <c r="C62" s="21" t="s">
        <v>36</v>
      </c>
      <c r="D62" s="22">
        <f>D16+(21.04*3.05)+(21.04*1.165*2)</f>
        <v>198.40719999999999</v>
      </c>
      <c r="E62" s="11"/>
      <c r="F62" s="11"/>
      <c r="G62" s="30"/>
      <c r="H62" s="37"/>
    </row>
    <row r="63" spans="1:8" s="12" customFormat="1" ht="15.75" outlineLevel="1" x14ac:dyDescent="0.25">
      <c r="A63" s="10" t="s">
        <v>174</v>
      </c>
      <c r="B63" s="17" t="s">
        <v>81</v>
      </c>
      <c r="C63" s="23" t="s">
        <v>82</v>
      </c>
      <c r="D63" s="24">
        <f>D62*0.3</f>
        <v>59.522159999999992</v>
      </c>
      <c r="E63" s="11"/>
      <c r="F63" s="11"/>
      <c r="G63" s="30"/>
      <c r="H63" s="38" t="s">
        <v>57</v>
      </c>
    </row>
    <row r="64" spans="1:8" s="12" customFormat="1" ht="25.5" outlineLevel="1" x14ac:dyDescent="0.25">
      <c r="A64" s="10" t="s">
        <v>175</v>
      </c>
      <c r="B64" s="17" t="s">
        <v>83</v>
      </c>
      <c r="C64" s="23" t="s">
        <v>36</v>
      </c>
      <c r="D64" s="24">
        <f>(D16+(21.04*3.05)+(21.04*1.165*2))*2*1.15</f>
        <v>456.33655999999996</v>
      </c>
      <c r="E64" s="11"/>
      <c r="F64" s="11"/>
      <c r="G64" s="30"/>
      <c r="H64" s="38" t="s">
        <v>57</v>
      </c>
    </row>
    <row r="65" spans="1:8" s="12" customFormat="1" ht="25.5" outlineLevel="1" x14ac:dyDescent="0.25">
      <c r="A65" s="10" t="s">
        <v>176</v>
      </c>
      <c r="B65" s="16" t="s">
        <v>84</v>
      </c>
      <c r="C65" s="21" t="s">
        <v>41</v>
      </c>
      <c r="D65" s="22">
        <f>(21.04*3.05*0.03)</f>
        <v>1.9251599999999998</v>
      </c>
      <c r="E65" s="11"/>
      <c r="F65" s="11"/>
      <c r="G65" s="30"/>
      <c r="H65" s="37"/>
    </row>
    <row r="66" spans="1:8" s="12" customFormat="1" ht="15.75" outlineLevel="1" x14ac:dyDescent="0.25">
      <c r="A66" s="10" t="s">
        <v>177</v>
      </c>
      <c r="B66" s="17" t="s">
        <v>85</v>
      </c>
      <c r="C66" s="23" t="s">
        <v>58</v>
      </c>
      <c r="D66" s="25">
        <f>D65*1550</f>
        <v>2983.9979999999996</v>
      </c>
      <c r="E66" s="11"/>
      <c r="F66" s="11"/>
      <c r="G66" s="30"/>
      <c r="H66" s="38" t="s">
        <v>55</v>
      </c>
    </row>
    <row r="67" spans="1:8" s="12" customFormat="1" ht="25.5" outlineLevel="1" x14ac:dyDescent="0.25">
      <c r="A67" s="10" t="s">
        <v>178</v>
      </c>
      <c r="B67" s="16" t="s">
        <v>86</v>
      </c>
      <c r="C67" s="21" t="s">
        <v>35</v>
      </c>
      <c r="D67" s="22">
        <f>((21.04*3.05*0.3)+(21.04*0.75*0.3*2)+(1.41*3.05*0.3))-(((3.14*0.3*(0.219*0.219)/4)*2)+((3.14*0.3*(0.273*0.273)/4)*2)+((3.14*0.3*(0.426*0.426)/4)*2))</f>
        <v>29.866582013999999</v>
      </c>
      <c r="E67" s="11"/>
      <c r="F67" s="11"/>
      <c r="G67" s="30"/>
      <c r="H67" s="37"/>
    </row>
    <row r="68" spans="1:8" s="12" customFormat="1" ht="15.75" outlineLevel="1" x14ac:dyDescent="0.25">
      <c r="A68" s="10" t="s">
        <v>179</v>
      </c>
      <c r="B68" s="17" t="s">
        <v>87</v>
      </c>
      <c r="C68" s="23" t="s">
        <v>35</v>
      </c>
      <c r="D68" s="24">
        <f>D67*1.02</f>
        <v>30.463913654279999</v>
      </c>
      <c r="E68" s="11"/>
      <c r="F68" s="11"/>
      <c r="G68" s="30"/>
      <c r="H68" s="38" t="s">
        <v>55</v>
      </c>
    </row>
    <row r="69" spans="1:8" s="12" customFormat="1" ht="15.75" outlineLevel="1" x14ac:dyDescent="0.25">
      <c r="A69" s="10" t="s">
        <v>180</v>
      </c>
      <c r="B69" s="17" t="s">
        <v>88</v>
      </c>
      <c r="C69" s="23" t="s">
        <v>89</v>
      </c>
      <c r="D69" s="24">
        <f>(1265.76*1.17)*1.578*1.03/1000</f>
        <v>2.4070297193279999</v>
      </c>
      <c r="E69" s="11"/>
      <c r="F69" s="11"/>
      <c r="G69" s="30"/>
      <c r="H69" s="38" t="s">
        <v>55</v>
      </c>
    </row>
    <row r="70" spans="1:8" s="12" customFormat="1" ht="15.75" outlineLevel="1" x14ac:dyDescent="0.25">
      <c r="A70" s="10" t="s">
        <v>181</v>
      </c>
      <c r="B70" s="17" t="s">
        <v>90</v>
      </c>
      <c r="C70" s="23" t="s">
        <v>89</v>
      </c>
      <c r="D70" s="24">
        <f>(316.48*1.17)*0.888*1.03/1000</f>
        <v>0.33867436262400002</v>
      </c>
      <c r="E70" s="11"/>
      <c r="F70" s="11"/>
      <c r="G70" s="30"/>
      <c r="H70" s="38" t="s">
        <v>55</v>
      </c>
    </row>
    <row r="71" spans="1:8" s="12" customFormat="1" ht="15.75" outlineLevel="1" x14ac:dyDescent="0.25">
      <c r="A71" s="10" t="s">
        <v>182</v>
      </c>
      <c r="B71" s="17" t="s">
        <v>91</v>
      </c>
      <c r="C71" s="23" t="s">
        <v>89</v>
      </c>
      <c r="D71" s="24">
        <f>(362*1.17)*1.42*1.03/1000</f>
        <v>0.61946960399999995</v>
      </c>
      <c r="E71" s="11"/>
      <c r="F71" s="11"/>
      <c r="G71" s="30"/>
      <c r="H71" s="38" t="s">
        <v>55</v>
      </c>
    </row>
    <row r="72" spans="1:8" s="12" customFormat="1" ht="15.75" outlineLevel="1" x14ac:dyDescent="0.25">
      <c r="A72" s="10" t="s">
        <v>183</v>
      </c>
      <c r="B72" s="17" t="s">
        <v>92</v>
      </c>
      <c r="C72" s="23" t="s">
        <v>89</v>
      </c>
      <c r="D72" s="24">
        <f>(182*1.17)*2.51*1.03/1000</f>
        <v>0.55051378200000001</v>
      </c>
      <c r="E72" s="11"/>
      <c r="F72" s="11"/>
      <c r="G72" s="30"/>
      <c r="H72" s="38" t="s">
        <v>55</v>
      </c>
    </row>
    <row r="73" spans="1:8" s="12" customFormat="1" ht="15.75" outlineLevel="1" x14ac:dyDescent="0.25">
      <c r="A73" s="10" t="s">
        <v>184</v>
      </c>
      <c r="B73" s="17" t="s">
        <v>93</v>
      </c>
      <c r="C73" s="23" t="s">
        <v>89</v>
      </c>
      <c r="D73" s="24">
        <f>(180*1.17)*1.11*1.03/1000</f>
        <v>0.24077898000000003</v>
      </c>
      <c r="E73" s="11"/>
      <c r="F73" s="11"/>
      <c r="G73" s="30"/>
      <c r="H73" s="38" t="s">
        <v>55</v>
      </c>
    </row>
    <row r="74" spans="1:8" s="12" customFormat="1" ht="15.75" outlineLevel="1" x14ac:dyDescent="0.25">
      <c r="A74" s="10" t="s">
        <v>185</v>
      </c>
      <c r="B74" s="16" t="s">
        <v>94</v>
      </c>
      <c r="C74" s="21" t="s">
        <v>37</v>
      </c>
      <c r="D74" s="22">
        <f>D75</f>
        <v>28</v>
      </c>
      <c r="E74" s="11"/>
      <c r="F74" s="11"/>
      <c r="G74" s="30"/>
      <c r="H74" s="37"/>
    </row>
    <row r="75" spans="1:8" s="12" customFormat="1" ht="15.75" outlineLevel="1" x14ac:dyDescent="0.25">
      <c r="A75" s="10" t="s">
        <v>186</v>
      </c>
      <c r="B75" s="17" t="s">
        <v>95</v>
      </c>
      <c r="C75" s="23" t="s">
        <v>37</v>
      </c>
      <c r="D75" s="24">
        <f>23+5</f>
        <v>28</v>
      </c>
      <c r="E75" s="11"/>
      <c r="F75" s="11"/>
      <c r="G75" s="30"/>
      <c r="H75" s="38" t="s">
        <v>57</v>
      </c>
    </row>
    <row r="76" spans="1:8" s="12" customFormat="1" ht="25.5" outlineLevel="1" x14ac:dyDescent="0.25">
      <c r="A76" s="10" t="s">
        <v>187</v>
      </c>
      <c r="B76" s="16" t="s">
        <v>96</v>
      </c>
      <c r="C76" s="21" t="s">
        <v>41</v>
      </c>
      <c r="D76" s="22">
        <f>(21.04*3.45*0.2)+(21.04*1.53*0.2*2)</f>
        <v>27.394080000000002</v>
      </c>
      <c r="E76" s="11"/>
      <c r="F76" s="11"/>
      <c r="G76" s="30"/>
      <c r="H76" s="37"/>
    </row>
    <row r="77" spans="1:8" s="12" customFormat="1" ht="25.5" outlineLevel="1" x14ac:dyDescent="0.25">
      <c r="A77" s="10" t="s">
        <v>188</v>
      </c>
      <c r="B77" s="17" t="s">
        <v>71</v>
      </c>
      <c r="C77" s="23" t="s">
        <v>35</v>
      </c>
      <c r="D77" s="24">
        <f>D76</f>
        <v>27.394080000000002</v>
      </c>
      <c r="E77" s="11"/>
      <c r="F77" s="11"/>
      <c r="G77" s="30"/>
      <c r="H77" s="38" t="s">
        <v>55</v>
      </c>
    </row>
    <row r="78" spans="1:8" s="12" customFormat="1" ht="38.25" outlineLevel="1" x14ac:dyDescent="0.25">
      <c r="A78" s="26" t="s">
        <v>189</v>
      </c>
      <c r="B78" s="15" t="s">
        <v>97</v>
      </c>
      <c r="C78" s="19" t="s">
        <v>77</v>
      </c>
      <c r="D78" s="20">
        <v>1</v>
      </c>
      <c r="E78" s="27"/>
      <c r="F78" s="27">
        <f t="shared" ref="F78:F129" si="1">E78*D78</f>
        <v>0</v>
      </c>
      <c r="G78" s="31"/>
      <c r="H78" s="36"/>
    </row>
    <row r="79" spans="1:8" s="12" customFormat="1" ht="25.5" outlineLevel="1" x14ac:dyDescent="0.25">
      <c r="A79" s="10" t="s">
        <v>190</v>
      </c>
      <c r="B79" s="16" t="s">
        <v>98</v>
      </c>
      <c r="C79" s="21" t="s">
        <v>41</v>
      </c>
      <c r="D79" s="22">
        <f>0.47*3.05*0.1</f>
        <v>0.14334999999999998</v>
      </c>
      <c r="E79" s="11"/>
      <c r="F79" s="11"/>
      <c r="G79" s="30"/>
      <c r="H79" s="37"/>
    </row>
    <row r="80" spans="1:8" s="12" customFormat="1" ht="15.75" outlineLevel="1" x14ac:dyDescent="0.25">
      <c r="A80" s="10" t="s">
        <v>191</v>
      </c>
      <c r="B80" s="17" t="s">
        <v>79</v>
      </c>
      <c r="C80" s="23" t="s">
        <v>35</v>
      </c>
      <c r="D80" s="24">
        <f>D79*1.02</f>
        <v>0.14621699999999999</v>
      </c>
      <c r="E80" s="11"/>
      <c r="F80" s="11"/>
      <c r="G80" s="30"/>
      <c r="H80" s="38" t="s">
        <v>55</v>
      </c>
    </row>
    <row r="81" spans="1:8" s="12" customFormat="1" ht="25.5" outlineLevel="1" x14ac:dyDescent="0.25">
      <c r="A81" s="10" t="s">
        <v>192</v>
      </c>
      <c r="B81" s="16" t="s">
        <v>99</v>
      </c>
      <c r="C81" s="21" t="s">
        <v>36</v>
      </c>
      <c r="D81" s="22">
        <f>D17+(0.47*3.05)+(0.47*1.165*2)</f>
        <v>4.4321000000000002</v>
      </c>
      <c r="E81" s="11"/>
      <c r="F81" s="11"/>
      <c r="G81" s="30"/>
      <c r="H81" s="37"/>
    </row>
    <row r="82" spans="1:8" s="12" customFormat="1" ht="15.75" outlineLevel="1" x14ac:dyDescent="0.25">
      <c r="A82" s="10" t="s">
        <v>193</v>
      </c>
      <c r="B82" s="17" t="s">
        <v>81</v>
      </c>
      <c r="C82" s="23" t="s">
        <v>82</v>
      </c>
      <c r="D82" s="24">
        <f>D81*0.3</f>
        <v>1.3296300000000001</v>
      </c>
      <c r="E82" s="11"/>
      <c r="F82" s="11"/>
      <c r="G82" s="30"/>
      <c r="H82" s="38" t="s">
        <v>57</v>
      </c>
    </row>
    <row r="83" spans="1:8" s="12" customFormat="1" ht="25.5" outlineLevel="1" x14ac:dyDescent="0.25">
      <c r="A83" s="10" t="s">
        <v>194</v>
      </c>
      <c r="B83" s="17" t="s">
        <v>83</v>
      </c>
      <c r="C83" s="23" t="s">
        <v>36</v>
      </c>
      <c r="D83" s="24">
        <f>(D17+(0.47*3.05)+(0.47*1.165*2))*2*1.15</f>
        <v>10.19383</v>
      </c>
      <c r="E83" s="11"/>
      <c r="F83" s="11"/>
      <c r="G83" s="30"/>
      <c r="H83" s="38" t="s">
        <v>57</v>
      </c>
    </row>
    <row r="84" spans="1:8" s="12" customFormat="1" ht="25.5" outlineLevel="1" x14ac:dyDescent="0.25">
      <c r="A84" s="10" t="s">
        <v>195</v>
      </c>
      <c r="B84" s="16" t="s">
        <v>100</v>
      </c>
      <c r="C84" s="21" t="s">
        <v>41</v>
      </c>
      <c r="D84" s="22">
        <f>(0.47*3.05*0.03)</f>
        <v>4.3004999999999995E-2</v>
      </c>
      <c r="E84" s="11"/>
      <c r="F84" s="11"/>
      <c r="G84" s="30"/>
      <c r="H84" s="37"/>
    </row>
    <row r="85" spans="1:8" s="12" customFormat="1" ht="15.75" outlineLevel="1" x14ac:dyDescent="0.25">
      <c r="A85" s="10" t="s">
        <v>196</v>
      </c>
      <c r="B85" s="17" t="s">
        <v>85</v>
      </c>
      <c r="C85" s="23" t="s">
        <v>58</v>
      </c>
      <c r="D85" s="25">
        <f>D84*1550</f>
        <v>66.657749999999993</v>
      </c>
      <c r="E85" s="11"/>
      <c r="F85" s="11"/>
      <c r="G85" s="30"/>
      <c r="H85" s="38" t="s">
        <v>55</v>
      </c>
    </row>
    <row r="86" spans="1:8" s="12" customFormat="1" ht="25.5" outlineLevel="1" x14ac:dyDescent="0.25">
      <c r="A86" s="10" t="s">
        <v>197</v>
      </c>
      <c r="B86" s="16" t="s">
        <v>101</v>
      </c>
      <c r="C86" s="21" t="s">
        <v>35</v>
      </c>
      <c r="D86" s="22">
        <f>(0.47*3.05*0.3*2)+(0.47*0.75*0.3*2)</f>
        <v>1.0715999999999999</v>
      </c>
      <c r="E86" s="11"/>
      <c r="F86" s="11"/>
      <c r="G86" s="30"/>
      <c r="H86" s="37"/>
    </row>
    <row r="87" spans="1:8" s="12" customFormat="1" ht="15.75" outlineLevel="1" x14ac:dyDescent="0.25">
      <c r="A87" s="10" t="s">
        <v>198</v>
      </c>
      <c r="B87" s="17" t="s">
        <v>87</v>
      </c>
      <c r="C87" s="23" t="s">
        <v>35</v>
      </c>
      <c r="D87" s="24">
        <f>D86*1.02</f>
        <v>1.093032</v>
      </c>
      <c r="E87" s="11"/>
      <c r="F87" s="11"/>
      <c r="G87" s="30"/>
      <c r="H87" s="38" t="s">
        <v>55</v>
      </c>
    </row>
    <row r="88" spans="1:8" s="12" customFormat="1" ht="15.75" outlineLevel="1" x14ac:dyDescent="0.25">
      <c r="A88" s="10" t="s">
        <v>199</v>
      </c>
      <c r="B88" s="17" t="s">
        <v>90</v>
      </c>
      <c r="C88" s="23" t="s">
        <v>89</v>
      </c>
      <c r="D88" s="24">
        <f>9.81*0.888*1.03/1000</f>
        <v>8.9726184E-3</v>
      </c>
      <c r="E88" s="11"/>
      <c r="F88" s="11"/>
      <c r="G88" s="30"/>
      <c r="H88" s="38" t="s">
        <v>55</v>
      </c>
    </row>
    <row r="89" spans="1:8" s="12" customFormat="1" ht="15.75" outlineLevel="1" x14ac:dyDescent="0.25">
      <c r="A89" s="10" t="s">
        <v>200</v>
      </c>
      <c r="B89" s="17" t="s">
        <v>102</v>
      </c>
      <c r="C89" s="23" t="s">
        <v>89</v>
      </c>
      <c r="D89" s="24">
        <f>15*1.15*1.03/1000</f>
        <v>1.7767500000000002E-2</v>
      </c>
      <c r="E89" s="11"/>
      <c r="F89" s="11"/>
      <c r="G89" s="30"/>
      <c r="H89" s="38" t="s">
        <v>55</v>
      </c>
    </row>
    <row r="90" spans="1:8" s="12" customFormat="1" ht="25.5" outlineLevel="1" x14ac:dyDescent="0.25">
      <c r="A90" s="10" t="s">
        <v>201</v>
      </c>
      <c r="B90" s="16" t="s">
        <v>103</v>
      </c>
      <c r="C90" s="21" t="s">
        <v>41</v>
      </c>
      <c r="D90" s="22">
        <f>(0.47*3.45*0.2)+(0.47*1.53*0.2*2)</f>
        <v>0.61194000000000004</v>
      </c>
      <c r="E90" s="11"/>
      <c r="F90" s="11"/>
      <c r="G90" s="30"/>
      <c r="H90" s="37"/>
    </row>
    <row r="91" spans="1:8" s="12" customFormat="1" ht="25.5" outlineLevel="1" x14ac:dyDescent="0.25">
      <c r="A91" s="10" t="s">
        <v>202</v>
      </c>
      <c r="B91" s="17" t="s">
        <v>71</v>
      </c>
      <c r="C91" s="23" t="s">
        <v>35</v>
      </c>
      <c r="D91" s="24">
        <f>D90</f>
        <v>0.61194000000000004</v>
      </c>
      <c r="E91" s="11"/>
      <c r="F91" s="11"/>
      <c r="G91" s="30"/>
      <c r="H91" s="38" t="s">
        <v>55</v>
      </c>
    </row>
    <row r="92" spans="1:8" s="12" customFormat="1" ht="38.25" outlineLevel="1" x14ac:dyDescent="0.25">
      <c r="A92" s="26" t="s">
        <v>203</v>
      </c>
      <c r="B92" s="15" t="s">
        <v>104</v>
      </c>
      <c r="C92" s="19" t="s">
        <v>77</v>
      </c>
      <c r="D92" s="20">
        <v>1</v>
      </c>
      <c r="E92" s="27"/>
      <c r="F92" s="27">
        <f t="shared" si="1"/>
        <v>0</v>
      </c>
      <c r="G92" s="31"/>
      <c r="H92" s="36"/>
    </row>
    <row r="93" spans="1:8" s="12" customFormat="1" ht="15.75" outlineLevel="1" x14ac:dyDescent="0.25">
      <c r="A93" s="10" t="s">
        <v>204</v>
      </c>
      <c r="B93" s="16" t="s">
        <v>105</v>
      </c>
      <c r="C93" s="21" t="s">
        <v>41</v>
      </c>
      <c r="D93" s="22">
        <f>34.2*3.05*0.1</f>
        <v>10.431000000000001</v>
      </c>
      <c r="E93" s="11"/>
      <c r="F93" s="11"/>
      <c r="G93" s="30"/>
      <c r="H93" s="37"/>
    </row>
    <row r="94" spans="1:8" s="12" customFormat="1" ht="15.75" outlineLevel="1" x14ac:dyDescent="0.25">
      <c r="A94" s="10" t="s">
        <v>205</v>
      </c>
      <c r="B94" s="17" t="s">
        <v>79</v>
      </c>
      <c r="C94" s="23" t="s">
        <v>35</v>
      </c>
      <c r="D94" s="24">
        <f>D93*1.02</f>
        <v>10.639620000000001</v>
      </c>
      <c r="E94" s="11"/>
      <c r="F94" s="11"/>
      <c r="G94" s="30"/>
      <c r="H94" s="38" t="s">
        <v>55</v>
      </c>
    </row>
    <row r="95" spans="1:8" s="12" customFormat="1" ht="15.75" outlineLevel="1" x14ac:dyDescent="0.25">
      <c r="A95" s="10" t="s">
        <v>206</v>
      </c>
      <c r="B95" s="16" t="s">
        <v>106</v>
      </c>
      <c r="C95" s="21" t="s">
        <v>36</v>
      </c>
      <c r="D95" s="22">
        <f>D18+(34.2*3.05)+(34.2*1.165*2)</f>
        <v>322.50600000000003</v>
      </c>
      <c r="E95" s="11"/>
      <c r="F95" s="11"/>
      <c r="G95" s="30"/>
      <c r="H95" s="37"/>
    </row>
    <row r="96" spans="1:8" s="12" customFormat="1" ht="15.75" outlineLevel="1" x14ac:dyDescent="0.25">
      <c r="A96" s="10" t="s">
        <v>207</v>
      </c>
      <c r="B96" s="17" t="s">
        <v>81</v>
      </c>
      <c r="C96" s="23" t="s">
        <v>82</v>
      </c>
      <c r="D96" s="24">
        <f>D95*0.3</f>
        <v>96.751800000000003</v>
      </c>
      <c r="E96" s="11"/>
      <c r="F96" s="11"/>
      <c r="G96" s="30"/>
      <c r="H96" s="38" t="s">
        <v>57</v>
      </c>
    </row>
    <row r="97" spans="1:8" s="12" customFormat="1" ht="25.5" outlineLevel="1" x14ac:dyDescent="0.25">
      <c r="A97" s="10" t="s">
        <v>208</v>
      </c>
      <c r="B97" s="17" t="s">
        <v>83</v>
      </c>
      <c r="C97" s="23" t="s">
        <v>36</v>
      </c>
      <c r="D97" s="24">
        <f>(D18+(34.2*3.05)+(34.2*1.165*2))*2*1.15</f>
        <v>741.76380000000006</v>
      </c>
      <c r="E97" s="11"/>
      <c r="F97" s="11"/>
      <c r="G97" s="30"/>
      <c r="H97" s="38" t="s">
        <v>57</v>
      </c>
    </row>
    <row r="98" spans="1:8" s="12" customFormat="1" ht="25.5" outlineLevel="1" x14ac:dyDescent="0.25">
      <c r="A98" s="10" t="s">
        <v>209</v>
      </c>
      <c r="B98" s="16" t="s">
        <v>107</v>
      </c>
      <c r="C98" s="21" t="s">
        <v>41</v>
      </c>
      <c r="D98" s="22">
        <f>(34.2*3.05*0.03)</f>
        <v>3.1292999999999997</v>
      </c>
      <c r="E98" s="11"/>
      <c r="F98" s="11"/>
      <c r="G98" s="30"/>
      <c r="H98" s="37"/>
    </row>
    <row r="99" spans="1:8" s="12" customFormat="1" ht="15.75" outlineLevel="1" x14ac:dyDescent="0.25">
      <c r="A99" s="10" t="s">
        <v>210</v>
      </c>
      <c r="B99" s="17" t="s">
        <v>85</v>
      </c>
      <c r="C99" s="23" t="s">
        <v>58</v>
      </c>
      <c r="D99" s="25">
        <f>D98*1550</f>
        <v>4850.415</v>
      </c>
      <c r="E99" s="11"/>
      <c r="F99" s="11"/>
      <c r="G99" s="30"/>
      <c r="H99" s="38" t="s">
        <v>55</v>
      </c>
    </row>
    <row r="100" spans="1:8" s="12" customFormat="1" ht="25.5" outlineLevel="1" x14ac:dyDescent="0.25">
      <c r="A100" s="10" t="s">
        <v>211</v>
      </c>
      <c r="B100" s="16" t="s">
        <v>108</v>
      </c>
      <c r="C100" s="21" t="s">
        <v>35</v>
      </c>
      <c r="D100" s="22">
        <f>(34.2*3.05*0.3)+(34.2*0.75*0.3*2)</f>
        <v>46.683</v>
      </c>
      <c r="E100" s="11"/>
      <c r="F100" s="11"/>
      <c r="G100" s="30"/>
      <c r="H100" s="37"/>
    </row>
    <row r="101" spans="1:8" s="12" customFormat="1" ht="15.75" outlineLevel="1" x14ac:dyDescent="0.25">
      <c r="A101" s="10" t="s">
        <v>212</v>
      </c>
      <c r="B101" s="17" t="s">
        <v>87</v>
      </c>
      <c r="C101" s="23" t="s">
        <v>35</v>
      </c>
      <c r="D101" s="24">
        <f>D100*1.02</f>
        <v>47.616660000000003</v>
      </c>
      <c r="E101" s="11"/>
      <c r="F101" s="11"/>
      <c r="G101" s="30"/>
      <c r="H101" s="38" t="s">
        <v>55</v>
      </c>
    </row>
    <row r="102" spans="1:8" s="12" customFormat="1" ht="15.75" outlineLevel="1" x14ac:dyDescent="0.25">
      <c r="A102" s="10" t="s">
        <v>213</v>
      </c>
      <c r="B102" s="17" t="s">
        <v>88</v>
      </c>
      <c r="C102" s="23" t="s">
        <v>89</v>
      </c>
      <c r="D102" s="24">
        <f>(2081.9*1.2)*1.578*1.03/1000</f>
        <v>4.0605544152000004</v>
      </c>
      <c r="E102" s="11"/>
      <c r="F102" s="11"/>
      <c r="G102" s="30"/>
      <c r="H102" s="38" t="s">
        <v>55</v>
      </c>
    </row>
    <row r="103" spans="1:8" s="12" customFormat="1" ht="15.75" outlineLevel="1" x14ac:dyDescent="0.25">
      <c r="A103" s="10" t="s">
        <v>214</v>
      </c>
      <c r="B103" s="17" t="s">
        <v>90</v>
      </c>
      <c r="C103" s="23" t="s">
        <v>89</v>
      </c>
      <c r="D103" s="24">
        <f>(399.84*1.2)*0.888*1.03/1000</f>
        <v>0.43885158912</v>
      </c>
      <c r="E103" s="11"/>
      <c r="F103" s="11"/>
      <c r="G103" s="30"/>
      <c r="H103" s="38" t="s">
        <v>55</v>
      </c>
    </row>
    <row r="104" spans="1:8" s="12" customFormat="1" ht="15.75" outlineLevel="1" x14ac:dyDescent="0.25">
      <c r="A104" s="10" t="s">
        <v>215</v>
      </c>
      <c r="B104" s="17" t="s">
        <v>91</v>
      </c>
      <c r="C104" s="23" t="s">
        <v>89</v>
      </c>
      <c r="D104" s="24">
        <f>(604*1.2)*1.42*1.03/1000</f>
        <v>1.06009248</v>
      </c>
      <c r="E104" s="11"/>
      <c r="F104" s="11"/>
      <c r="G104" s="30"/>
      <c r="H104" s="38" t="s">
        <v>55</v>
      </c>
    </row>
    <row r="105" spans="1:8" s="12" customFormat="1" ht="15.75" outlineLevel="1" x14ac:dyDescent="0.25">
      <c r="A105" s="10" t="s">
        <v>216</v>
      </c>
      <c r="B105" s="17" t="s">
        <v>92</v>
      </c>
      <c r="C105" s="23" t="s">
        <v>89</v>
      </c>
      <c r="D105" s="24">
        <f>(153*1.2)*2.51*1.03/1000</f>
        <v>0.47466107999999996</v>
      </c>
      <c r="E105" s="11"/>
      <c r="F105" s="11"/>
      <c r="G105" s="30"/>
      <c r="H105" s="38" t="s">
        <v>55</v>
      </c>
    </row>
    <row r="106" spans="1:8" s="12" customFormat="1" ht="15.75" outlineLevel="1" x14ac:dyDescent="0.25">
      <c r="A106" s="10" t="s">
        <v>217</v>
      </c>
      <c r="B106" s="17" t="s">
        <v>109</v>
      </c>
      <c r="C106" s="23" t="s">
        <v>89</v>
      </c>
      <c r="D106" s="24">
        <f>(156*1.2)*2.5*1.03/1000</f>
        <v>0.48204000000000002</v>
      </c>
      <c r="E106" s="11"/>
      <c r="F106" s="11"/>
      <c r="G106" s="30"/>
      <c r="H106" s="38" t="s">
        <v>55</v>
      </c>
    </row>
    <row r="107" spans="1:8" s="12" customFormat="1" ht="15.75" outlineLevel="1" x14ac:dyDescent="0.25">
      <c r="A107" s="10" t="s">
        <v>218</v>
      </c>
      <c r="B107" s="17" t="s">
        <v>93</v>
      </c>
      <c r="C107" s="23" t="s">
        <v>89</v>
      </c>
      <c r="D107" s="24">
        <f>(302*1.2)*1.11*1.03/1000</f>
        <v>0.41433192000000002</v>
      </c>
      <c r="E107" s="11"/>
      <c r="F107" s="11"/>
      <c r="G107" s="30"/>
      <c r="H107" s="38" t="s">
        <v>55</v>
      </c>
    </row>
    <row r="108" spans="1:8" s="12" customFormat="1" ht="15.75" outlineLevel="1" x14ac:dyDescent="0.25">
      <c r="A108" s="10" t="s">
        <v>219</v>
      </c>
      <c r="B108" s="16" t="s">
        <v>110</v>
      </c>
      <c r="C108" s="21" t="s">
        <v>37</v>
      </c>
      <c r="D108" s="22">
        <f>D109</f>
        <v>45</v>
      </c>
      <c r="E108" s="11"/>
      <c r="F108" s="11"/>
      <c r="G108" s="30"/>
      <c r="H108" s="37"/>
    </row>
    <row r="109" spans="1:8" s="12" customFormat="1" ht="15.75" outlineLevel="1" x14ac:dyDescent="0.25">
      <c r="A109" s="10" t="s">
        <v>220</v>
      </c>
      <c r="B109" s="17" t="s">
        <v>95</v>
      </c>
      <c r="C109" s="23" t="s">
        <v>37</v>
      </c>
      <c r="D109" s="24">
        <f>36+9</f>
        <v>45</v>
      </c>
      <c r="E109" s="11"/>
      <c r="F109" s="11"/>
      <c r="G109" s="30"/>
      <c r="H109" s="38" t="s">
        <v>57</v>
      </c>
    </row>
    <row r="110" spans="1:8" s="12" customFormat="1" ht="25.5" outlineLevel="1" x14ac:dyDescent="0.25">
      <c r="A110" s="10" t="s">
        <v>221</v>
      </c>
      <c r="B110" s="16" t="s">
        <v>111</v>
      </c>
      <c r="C110" s="21" t="s">
        <v>41</v>
      </c>
      <c r="D110" s="22">
        <f>(34.2*3.05*0.2)+(34.2*1.53*0.2*2)</f>
        <v>41.792400000000008</v>
      </c>
      <c r="E110" s="11"/>
      <c r="F110" s="11"/>
      <c r="G110" s="30"/>
      <c r="H110" s="37"/>
    </row>
    <row r="111" spans="1:8" s="12" customFormat="1" ht="25.5" outlineLevel="1" x14ac:dyDescent="0.25">
      <c r="A111" s="10" t="s">
        <v>222</v>
      </c>
      <c r="B111" s="17" t="s">
        <v>71</v>
      </c>
      <c r="C111" s="23" t="s">
        <v>35</v>
      </c>
      <c r="D111" s="24">
        <f>D110</f>
        <v>41.792400000000008</v>
      </c>
      <c r="E111" s="11"/>
      <c r="F111" s="11"/>
      <c r="G111" s="30"/>
      <c r="H111" s="38" t="s">
        <v>55</v>
      </c>
    </row>
    <row r="112" spans="1:8" s="12" customFormat="1" ht="38.25" outlineLevel="1" x14ac:dyDescent="0.25">
      <c r="A112" s="26" t="s">
        <v>223</v>
      </c>
      <c r="B112" s="15" t="s">
        <v>112</v>
      </c>
      <c r="C112" s="19" t="s">
        <v>77</v>
      </c>
      <c r="D112" s="20">
        <v>1</v>
      </c>
      <c r="E112" s="27"/>
      <c r="F112" s="27">
        <f t="shared" si="1"/>
        <v>0</v>
      </c>
      <c r="G112" s="31"/>
      <c r="H112" s="36"/>
    </row>
    <row r="113" spans="1:8" s="12" customFormat="1" ht="25.5" outlineLevel="1" x14ac:dyDescent="0.25">
      <c r="A113" s="10" t="s">
        <v>224</v>
      </c>
      <c r="B113" s="16" t="s">
        <v>113</v>
      </c>
      <c r="C113" s="21" t="s">
        <v>41</v>
      </c>
      <c r="D113" s="22">
        <f>3.56*3.53*0.1</f>
        <v>1.25668</v>
      </c>
      <c r="E113" s="11"/>
      <c r="F113" s="11"/>
      <c r="G113" s="30"/>
      <c r="H113" s="37"/>
    </row>
    <row r="114" spans="1:8" s="12" customFormat="1" ht="15.75" outlineLevel="1" x14ac:dyDescent="0.25">
      <c r="A114" s="10" t="s">
        <v>225</v>
      </c>
      <c r="B114" s="17" t="s">
        <v>79</v>
      </c>
      <c r="C114" s="23" t="s">
        <v>35</v>
      </c>
      <c r="D114" s="24">
        <f>D113*1.02</f>
        <v>1.2818136</v>
      </c>
      <c r="E114" s="11"/>
      <c r="F114" s="11"/>
      <c r="G114" s="30"/>
      <c r="H114" s="38" t="s">
        <v>55</v>
      </c>
    </row>
    <row r="115" spans="1:8" s="12" customFormat="1" ht="25.5" outlineLevel="1" x14ac:dyDescent="0.25">
      <c r="A115" s="10" t="s">
        <v>226</v>
      </c>
      <c r="B115" s="16" t="s">
        <v>114</v>
      </c>
      <c r="C115" s="21" t="s">
        <v>36</v>
      </c>
      <c r="D115" s="22">
        <f>D19+(3.56*3.53)+(3.56*1.458*2)+(1.64*1.458)</f>
        <v>39.756880000000002</v>
      </c>
      <c r="E115" s="11"/>
      <c r="F115" s="11"/>
      <c r="G115" s="30"/>
      <c r="H115" s="37"/>
    </row>
    <row r="116" spans="1:8" s="12" customFormat="1" ht="15.75" outlineLevel="1" x14ac:dyDescent="0.25">
      <c r="A116" s="10" t="s">
        <v>227</v>
      </c>
      <c r="B116" s="17" t="s">
        <v>81</v>
      </c>
      <c r="C116" s="23" t="s">
        <v>82</v>
      </c>
      <c r="D116" s="24">
        <f>D115*0.3</f>
        <v>11.927064</v>
      </c>
      <c r="E116" s="11"/>
      <c r="F116" s="11"/>
      <c r="G116" s="30"/>
      <c r="H116" s="38" t="s">
        <v>57</v>
      </c>
    </row>
    <row r="117" spans="1:8" s="12" customFormat="1" ht="25.5" outlineLevel="1" x14ac:dyDescent="0.25">
      <c r="A117" s="10" t="s">
        <v>228</v>
      </c>
      <c r="B117" s="17" t="s">
        <v>83</v>
      </c>
      <c r="C117" s="23" t="s">
        <v>36</v>
      </c>
      <c r="D117" s="24">
        <f>(D19+(3.56*3.53)+(3.56*1.458*2)+(1.64*1.458))*2*1.15</f>
        <v>91.440823999999992</v>
      </c>
      <c r="E117" s="11"/>
      <c r="F117" s="11"/>
      <c r="G117" s="30"/>
      <c r="H117" s="38" t="s">
        <v>57</v>
      </c>
    </row>
    <row r="118" spans="1:8" s="12" customFormat="1" ht="25.5" outlineLevel="1" x14ac:dyDescent="0.25">
      <c r="A118" s="10" t="s">
        <v>229</v>
      </c>
      <c r="B118" s="16" t="s">
        <v>115</v>
      </c>
      <c r="C118" s="21" t="s">
        <v>41</v>
      </c>
      <c r="D118" s="22">
        <f>(3.53*3.56*0.03)</f>
        <v>0.37700399999999995</v>
      </c>
      <c r="E118" s="11"/>
      <c r="F118" s="11"/>
      <c r="G118" s="30"/>
      <c r="H118" s="37"/>
    </row>
    <row r="119" spans="1:8" s="12" customFormat="1" ht="15.75" outlineLevel="1" x14ac:dyDescent="0.25">
      <c r="A119" s="10" t="s">
        <v>230</v>
      </c>
      <c r="B119" s="17" t="s">
        <v>85</v>
      </c>
      <c r="C119" s="23" t="s">
        <v>58</v>
      </c>
      <c r="D119" s="25">
        <f>D118*1550</f>
        <v>584.35619999999994</v>
      </c>
      <c r="E119" s="11"/>
      <c r="F119" s="11"/>
      <c r="G119" s="30"/>
      <c r="H119" s="38" t="s">
        <v>55</v>
      </c>
    </row>
    <row r="120" spans="1:8" s="12" customFormat="1" ht="25.5" outlineLevel="1" x14ac:dyDescent="0.25">
      <c r="A120" s="10" t="s">
        <v>231</v>
      </c>
      <c r="B120" s="16" t="s">
        <v>116</v>
      </c>
      <c r="C120" s="21" t="s">
        <v>35</v>
      </c>
      <c r="D120" s="22">
        <f>(12.01*0.3)+(12.01*0.3)+(3.56*0.75*0.3)+(1.64*0.75*0.3)+(3.53*0.75*0.3)</f>
        <v>9.1702499999999993</v>
      </c>
      <c r="E120" s="11"/>
      <c r="F120" s="11"/>
      <c r="G120" s="30"/>
      <c r="H120" s="37"/>
    </row>
    <row r="121" spans="1:8" s="12" customFormat="1" ht="15.75" outlineLevel="1" x14ac:dyDescent="0.25">
      <c r="A121" s="10" t="s">
        <v>232</v>
      </c>
      <c r="B121" s="17" t="s">
        <v>87</v>
      </c>
      <c r="C121" s="23" t="s">
        <v>35</v>
      </c>
      <c r="D121" s="24">
        <f>D120*1.02</f>
        <v>9.3536549999999998</v>
      </c>
      <c r="E121" s="11"/>
      <c r="F121" s="11"/>
      <c r="G121" s="30"/>
      <c r="H121" s="38" t="s">
        <v>55</v>
      </c>
    </row>
    <row r="122" spans="1:8" s="12" customFormat="1" ht="15.75" outlineLevel="1" x14ac:dyDescent="0.25">
      <c r="A122" s="10" t="s">
        <v>233</v>
      </c>
      <c r="B122" s="17" t="s">
        <v>117</v>
      </c>
      <c r="C122" s="23" t="s">
        <v>89</v>
      </c>
      <c r="D122" s="24">
        <f>90.63*1.998*1.03/1000</f>
        <v>0.18651110219999997</v>
      </c>
      <c r="E122" s="11"/>
      <c r="F122" s="11"/>
      <c r="G122" s="30"/>
      <c r="H122" s="38" t="s">
        <v>55</v>
      </c>
    </row>
    <row r="123" spans="1:8" s="12" customFormat="1" ht="15.75" outlineLevel="1" x14ac:dyDescent="0.25">
      <c r="A123" s="10" t="s">
        <v>234</v>
      </c>
      <c r="B123" s="17" t="s">
        <v>90</v>
      </c>
      <c r="C123" s="23" t="s">
        <v>89</v>
      </c>
      <c r="D123" s="24">
        <f>220.05*0.888*1.03/1000</f>
        <v>0.20126653200000003</v>
      </c>
      <c r="E123" s="11"/>
      <c r="F123" s="11"/>
      <c r="G123" s="30"/>
      <c r="H123" s="38" t="s">
        <v>55</v>
      </c>
    </row>
    <row r="124" spans="1:8" s="12" customFormat="1" ht="15.75" outlineLevel="1" x14ac:dyDescent="0.25">
      <c r="A124" s="10" t="s">
        <v>235</v>
      </c>
      <c r="B124" s="17" t="s">
        <v>118</v>
      </c>
      <c r="C124" s="23" t="s">
        <v>89</v>
      </c>
      <c r="D124" s="24">
        <f>23*0.73*1.03/1000</f>
        <v>1.7293700000000002E-2</v>
      </c>
      <c r="E124" s="11"/>
      <c r="F124" s="11"/>
      <c r="G124" s="30"/>
      <c r="H124" s="38" t="s">
        <v>55</v>
      </c>
    </row>
    <row r="125" spans="1:8" s="12" customFormat="1" ht="15.75" outlineLevel="1" x14ac:dyDescent="0.25">
      <c r="A125" s="10" t="s">
        <v>236</v>
      </c>
      <c r="B125" s="17" t="s">
        <v>119</v>
      </c>
      <c r="C125" s="23" t="s">
        <v>89</v>
      </c>
      <c r="D125" s="24">
        <f>77*1.11*1.03/1000</f>
        <v>8.8034100000000004E-2</v>
      </c>
      <c r="E125" s="11"/>
      <c r="F125" s="11"/>
      <c r="G125" s="30"/>
      <c r="H125" s="38" t="s">
        <v>55</v>
      </c>
    </row>
    <row r="126" spans="1:8" s="12" customFormat="1" ht="15.75" outlineLevel="1" x14ac:dyDescent="0.25">
      <c r="A126" s="10" t="s">
        <v>237</v>
      </c>
      <c r="B126" s="17" t="s">
        <v>120</v>
      </c>
      <c r="C126" s="23" t="s">
        <v>89</v>
      </c>
      <c r="D126" s="24">
        <f>4*3.28*1.03/1000</f>
        <v>1.3513600000000001E-2</v>
      </c>
      <c r="E126" s="11"/>
      <c r="F126" s="11"/>
      <c r="G126" s="30"/>
      <c r="H126" s="38" t="s">
        <v>55</v>
      </c>
    </row>
    <row r="127" spans="1:8" s="12" customFormat="1" ht="25.5" outlineLevel="1" x14ac:dyDescent="0.25">
      <c r="A127" s="10" t="s">
        <v>238</v>
      </c>
      <c r="B127" s="16" t="s">
        <v>121</v>
      </c>
      <c r="C127" s="21" t="s">
        <v>41</v>
      </c>
      <c r="D127" s="22">
        <f>(12.01*0.2)+(3.56*1.65*0.2)+(1.64*1.65*0.2)+(3.53*1.65*0.2)</f>
        <v>5.2829000000000006</v>
      </c>
      <c r="E127" s="11"/>
      <c r="F127" s="11"/>
      <c r="G127" s="30"/>
      <c r="H127" s="37"/>
    </row>
    <row r="128" spans="1:8" s="12" customFormat="1" ht="25.5" outlineLevel="1" x14ac:dyDescent="0.25">
      <c r="A128" s="10" t="s">
        <v>239</v>
      </c>
      <c r="B128" s="17" t="s">
        <v>71</v>
      </c>
      <c r="C128" s="23" t="s">
        <v>35</v>
      </c>
      <c r="D128" s="24">
        <f>D127</f>
        <v>5.2829000000000006</v>
      </c>
      <c r="E128" s="11"/>
      <c r="F128" s="11"/>
      <c r="G128" s="30"/>
      <c r="H128" s="38" t="s">
        <v>55</v>
      </c>
    </row>
    <row r="129" spans="1:8" s="12" customFormat="1" ht="38.25" outlineLevel="1" x14ac:dyDescent="0.25">
      <c r="A129" s="26" t="s">
        <v>240</v>
      </c>
      <c r="B129" s="15" t="s">
        <v>122</v>
      </c>
      <c r="C129" s="19" t="s">
        <v>77</v>
      </c>
      <c r="D129" s="20">
        <v>1</v>
      </c>
      <c r="E129" s="27"/>
      <c r="F129" s="27">
        <f t="shared" si="1"/>
        <v>0</v>
      </c>
      <c r="G129" s="31"/>
      <c r="H129" s="36"/>
    </row>
    <row r="130" spans="1:8" s="12" customFormat="1" ht="15.75" outlineLevel="1" x14ac:dyDescent="0.25">
      <c r="A130" s="10" t="s">
        <v>241</v>
      </c>
      <c r="B130" s="16" t="s">
        <v>123</v>
      </c>
      <c r="C130" s="21" t="s">
        <v>41</v>
      </c>
      <c r="D130" s="22">
        <f>3.05*9.86*0.1</f>
        <v>3.0072999999999999</v>
      </c>
      <c r="E130" s="11"/>
      <c r="F130" s="11"/>
      <c r="G130" s="30"/>
      <c r="H130" s="37"/>
    </row>
    <row r="131" spans="1:8" s="12" customFormat="1" ht="15.75" outlineLevel="1" x14ac:dyDescent="0.25">
      <c r="A131" s="10" t="s">
        <v>242</v>
      </c>
      <c r="B131" s="17" t="s">
        <v>79</v>
      </c>
      <c r="C131" s="23" t="s">
        <v>35</v>
      </c>
      <c r="D131" s="24">
        <f>D130*1.02</f>
        <v>3.0674459999999999</v>
      </c>
      <c r="E131" s="11"/>
      <c r="F131" s="11"/>
      <c r="G131" s="30"/>
      <c r="H131" s="38" t="s">
        <v>55</v>
      </c>
    </row>
    <row r="132" spans="1:8" s="12" customFormat="1" ht="15.75" outlineLevel="1" x14ac:dyDescent="0.25">
      <c r="A132" s="10" t="s">
        <v>243</v>
      </c>
      <c r="B132" s="16" t="s">
        <v>124</v>
      </c>
      <c r="C132" s="21" t="s">
        <v>36</v>
      </c>
      <c r="D132" s="22">
        <f>D20+(9.86*3.05)+(9.86*1.19*2)</f>
        <v>87.063799999999986</v>
      </c>
      <c r="E132" s="11"/>
      <c r="F132" s="11"/>
      <c r="G132" s="30"/>
      <c r="H132" s="37"/>
    </row>
    <row r="133" spans="1:8" s="12" customFormat="1" ht="15.75" outlineLevel="1" x14ac:dyDescent="0.25">
      <c r="A133" s="10" t="s">
        <v>244</v>
      </c>
      <c r="B133" s="17" t="s">
        <v>81</v>
      </c>
      <c r="C133" s="23" t="s">
        <v>82</v>
      </c>
      <c r="D133" s="24">
        <f>D132*0.3</f>
        <v>26.119139999999994</v>
      </c>
      <c r="E133" s="11"/>
      <c r="F133" s="11"/>
      <c r="G133" s="30"/>
      <c r="H133" s="38" t="s">
        <v>57</v>
      </c>
    </row>
    <row r="134" spans="1:8" s="12" customFormat="1" ht="25.5" outlineLevel="1" x14ac:dyDescent="0.25">
      <c r="A134" s="10" t="s">
        <v>245</v>
      </c>
      <c r="B134" s="17" t="s">
        <v>83</v>
      </c>
      <c r="C134" s="23" t="s">
        <v>36</v>
      </c>
      <c r="D134" s="24">
        <f>(D20+(9.86*3.05)+(9.86*1.19*2))*2*1.15</f>
        <v>200.24673999999996</v>
      </c>
      <c r="E134" s="11"/>
      <c r="F134" s="11"/>
      <c r="G134" s="30"/>
      <c r="H134" s="38" t="s">
        <v>57</v>
      </c>
    </row>
    <row r="135" spans="1:8" s="12" customFormat="1" ht="25.5" outlineLevel="1" x14ac:dyDescent="0.25">
      <c r="A135" s="10" t="s">
        <v>246</v>
      </c>
      <c r="B135" s="16" t="s">
        <v>125</v>
      </c>
      <c r="C135" s="21" t="s">
        <v>41</v>
      </c>
      <c r="D135" s="22">
        <f>(9.86*3.05*0.03)</f>
        <v>0.90218999999999983</v>
      </c>
      <c r="E135" s="11"/>
      <c r="F135" s="11"/>
      <c r="G135" s="30"/>
      <c r="H135" s="37"/>
    </row>
    <row r="136" spans="1:8" s="12" customFormat="1" ht="15.75" outlineLevel="1" x14ac:dyDescent="0.25">
      <c r="A136" s="10" t="s">
        <v>247</v>
      </c>
      <c r="B136" s="17" t="s">
        <v>85</v>
      </c>
      <c r="C136" s="23" t="s">
        <v>58</v>
      </c>
      <c r="D136" s="25">
        <f>D135*1550</f>
        <v>1398.3944999999997</v>
      </c>
      <c r="E136" s="11"/>
      <c r="F136" s="11"/>
      <c r="G136" s="30"/>
      <c r="H136" s="38" t="s">
        <v>55</v>
      </c>
    </row>
    <row r="137" spans="1:8" s="12" customFormat="1" ht="25.5" outlineLevel="1" x14ac:dyDescent="0.25">
      <c r="A137" s="10" t="s">
        <v>248</v>
      </c>
      <c r="B137" s="16" t="s">
        <v>126</v>
      </c>
      <c r="C137" s="21" t="s">
        <v>35</v>
      </c>
      <c r="D137" s="22">
        <f>(9.86*3.05*0.3)+(9.86*0.75*0.3*2)</f>
        <v>13.458899999999998</v>
      </c>
      <c r="E137" s="11"/>
      <c r="F137" s="11"/>
      <c r="G137" s="30"/>
      <c r="H137" s="37"/>
    </row>
    <row r="138" spans="1:8" s="12" customFormat="1" ht="15.75" outlineLevel="1" x14ac:dyDescent="0.25">
      <c r="A138" s="10" t="s">
        <v>249</v>
      </c>
      <c r="B138" s="17" t="s">
        <v>87</v>
      </c>
      <c r="C138" s="23" t="s">
        <v>35</v>
      </c>
      <c r="D138" s="24">
        <f>D137*1.02</f>
        <v>13.728077999999998</v>
      </c>
      <c r="E138" s="11"/>
      <c r="F138" s="11"/>
      <c r="G138" s="30"/>
      <c r="H138" s="38" t="s">
        <v>55</v>
      </c>
    </row>
    <row r="139" spans="1:8" s="12" customFormat="1" ht="15.75" outlineLevel="1" x14ac:dyDescent="0.25">
      <c r="A139" s="10" t="s">
        <v>250</v>
      </c>
      <c r="B139" s="17" t="s">
        <v>88</v>
      </c>
      <c r="C139" s="23" t="s">
        <v>89</v>
      </c>
      <c r="D139" s="24">
        <f>715.78*1.578*1.03/1000</f>
        <v>1.1633858652</v>
      </c>
      <c r="E139" s="11"/>
      <c r="F139" s="11"/>
      <c r="G139" s="30"/>
      <c r="H139" s="38" t="s">
        <v>55</v>
      </c>
    </row>
    <row r="140" spans="1:8" s="12" customFormat="1" ht="15.75" outlineLevel="1" x14ac:dyDescent="0.25">
      <c r="A140" s="10" t="s">
        <v>251</v>
      </c>
      <c r="B140" s="17" t="s">
        <v>90</v>
      </c>
      <c r="C140" s="23" t="s">
        <v>89</v>
      </c>
      <c r="D140" s="24">
        <f>90.32*0.888*1.03/1000</f>
        <v>8.2610284800000003E-2</v>
      </c>
      <c r="E140" s="11"/>
      <c r="F140" s="11"/>
      <c r="G140" s="30"/>
      <c r="H140" s="38" t="s">
        <v>55</v>
      </c>
    </row>
    <row r="141" spans="1:8" s="12" customFormat="1" ht="15.75" outlineLevel="1" x14ac:dyDescent="0.25">
      <c r="A141" s="10" t="s">
        <v>252</v>
      </c>
      <c r="B141" s="17" t="s">
        <v>91</v>
      </c>
      <c r="C141" s="23" t="s">
        <v>89</v>
      </c>
      <c r="D141" s="24">
        <f>204*1.42*1.03/1000</f>
        <v>0.29837040000000004</v>
      </c>
      <c r="E141" s="11"/>
      <c r="F141" s="11"/>
      <c r="G141" s="30"/>
      <c r="H141" s="38" t="s">
        <v>55</v>
      </c>
    </row>
    <row r="142" spans="1:8" s="12" customFormat="1" ht="15.75" outlineLevel="1" x14ac:dyDescent="0.25">
      <c r="A142" s="10" t="s">
        <v>253</v>
      </c>
      <c r="B142" s="17" t="s">
        <v>92</v>
      </c>
      <c r="C142" s="23" t="s">
        <v>89</v>
      </c>
      <c r="D142" s="24">
        <f>121*2.51*1.03/1000</f>
        <v>0.31282130000000002</v>
      </c>
      <c r="E142" s="11"/>
      <c r="F142" s="11"/>
      <c r="G142" s="30"/>
      <c r="H142" s="38" t="s">
        <v>55</v>
      </c>
    </row>
    <row r="143" spans="1:8" s="12" customFormat="1" ht="15.75" outlineLevel="1" x14ac:dyDescent="0.25">
      <c r="A143" s="10" t="s">
        <v>254</v>
      </c>
      <c r="B143" s="17" t="s">
        <v>127</v>
      </c>
      <c r="C143" s="23" t="s">
        <v>89</v>
      </c>
      <c r="D143" s="24">
        <f>8*1.13*1.03/1000</f>
        <v>9.3111999999999986E-3</v>
      </c>
      <c r="E143" s="11"/>
      <c r="F143" s="11"/>
      <c r="G143" s="30"/>
      <c r="H143" s="38" t="s">
        <v>55</v>
      </c>
    </row>
    <row r="144" spans="1:8" s="12" customFormat="1" ht="15.75" outlineLevel="1" x14ac:dyDescent="0.25">
      <c r="A144" s="10" t="s">
        <v>255</v>
      </c>
      <c r="B144" s="17" t="s">
        <v>93</v>
      </c>
      <c r="C144" s="23" t="s">
        <v>89</v>
      </c>
      <c r="D144" s="24">
        <f>102*1.11*1.03/1000</f>
        <v>0.11661660000000001</v>
      </c>
      <c r="E144" s="11"/>
      <c r="F144" s="11"/>
      <c r="G144" s="30"/>
      <c r="H144" s="38" t="s">
        <v>55</v>
      </c>
    </row>
    <row r="145" spans="1:8" s="12" customFormat="1" ht="15.75" outlineLevel="1" x14ac:dyDescent="0.25">
      <c r="A145" s="10" t="s">
        <v>256</v>
      </c>
      <c r="B145" s="16" t="s">
        <v>128</v>
      </c>
      <c r="C145" s="21" t="s">
        <v>37</v>
      </c>
      <c r="D145" s="22">
        <f>D146</f>
        <v>13</v>
      </c>
      <c r="E145" s="11"/>
      <c r="F145" s="11"/>
      <c r="G145" s="30"/>
      <c r="H145" s="37"/>
    </row>
    <row r="146" spans="1:8" s="12" customFormat="1" ht="15.75" outlineLevel="1" x14ac:dyDescent="0.25">
      <c r="A146" s="10" t="s">
        <v>257</v>
      </c>
      <c r="B146" s="17" t="s">
        <v>95</v>
      </c>
      <c r="C146" s="23" t="s">
        <v>37</v>
      </c>
      <c r="D146" s="24">
        <v>13</v>
      </c>
      <c r="E146" s="11"/>
      <c r="F146" s="11"/>
      <c r="G146" s="30"/>
      <c r="H146" s="38" t="s">
        <v>57</v>
      </c>
    </row>
    <row r="147" spans="1:8" s="12" customFormat="1" ht="25.5" outlineLevel="1" x14ac:dyDescent="0.25">
      <c r="A147" s="10" t="s">
        <v>258</v>
      </c>
      <c r="B147" s="16" t="s">
        <v>129</v>
      </c>
      <c r="C147" s="21" t="s">
        <v>41</v>
      </c>
      <c r="D147" s="22">
        <f>(9.86*3.05*0.2)+(9.86*1.53*0.2*2)</f>
        <v>12.048919999999999</v>
      </c>
      <c r="E147" s="11"/>
      <c r="F147" s="11"/>
      <c r="G147" s="30"/>
      <c r="H147" s="37"/>
    </row>
    <row r="148" spans="1:8" s="12" customFormat="1" ht="25.5" outlineLevel="1" x14ac:dyDescent="0.25">
      <c r="A148" s="10" t="s">
        <v>259</v>
      </c>
      <c r="B148" s="17" t="s">
        <v>71</v>
      </c>
      <c r="C148" s="23" t="s">
        <v>35</v>
      </c>
      <c r="D148" s="24">
        <f>D147</f>
        <v>12.048919999999999</v>
      </c>
      <c r="E148" s="11"/>
      <c r="F148" s="11"/>
      <c r="G148" s="30"/>
      <c r="H148" s="38" t="s">
        <v>55</v>
      </c>
    </row>
    <row r="149" spans="1:8" s="12" customFormat="1" ht="38.25" outlineLevel="1" x14ac:dyDescent="0.25">
      <c r="A149" s="26" t="s">
        <v>260</v>
      </c>
      <c r="B149" s="15" t="s">
        <v>34</v>
      </c>
      <c r="C149" s="19" t="s">
        <v>35</v>
      </c>
      <c r="D149" s="20">
        <f>SUM(D150:D153)</f>
        <v>527.29000000000008</v>
      </c>
      <c r="E149" s="27"/>
      <c r="F149" s="27">
        <f t="shared" ref="F149" si="2">E149*D149</f>
        <v>0</v>
      </c>
      <c r="G149" s="31"/>
      <c r="H149" s="36"/>
    </row>
    <row r="150" spans="1:8" s="12" customFormat="1" ht="25.5" outlineLevel="1" x14ac:dyDescent="0.25">
      <c r="A150" s="10" t="s">
        <v>261</v>
      </c>
      <c r="B150" s="16" t="s">
        <v>130</v>
      </c>
      <c r="C150" s="21" t="s">
        <v>41</v>
      </c>
      <c r="D150" s="22">
        <f>((4.25+8.25)/2*2*21.51)-109.24</f>
        <v>159.63499999999999</v>
      </c>
      <c r="E150" s="11"/>
      <c r="F150" s="11"/>
      <c r="G150" s="30"/>
      <c r="H150" s="37"/>
    </row>
    <row r="151" spans="1:8" s="12" customFormat="1" ht="25.5" outlineLevel="1" x14ac:dyDescent="0.25">
      <c r="A151" s="10" t="s">
        <v>262</v>
      </c>
      <c r="B151" s="16" t="s">
        <v>131</v>
      </c>
      <c r="C151" s="21" t="s">
        <v>41</v>
      </c>
      <c r="D151" s="22">
        <f>((4.25+8.25)/2*2*34.2)-167.5</f>
        <v>260.00000000000006</v>
      </c>
      <c r="E151" s="11"/>
      <c r="F151" s="11"/>
      <c r="G151" s="30"/>
      <c r="H151" s="37"/>
    </row>
    <row r="152" spans="1:8" s="12" customFormat="1" ht="25.5" outlineLevel="1" x14ac:dyDescent="0.25">
      <c r="A152" s="10" t="s">
        <v>263</v>
      </c>
      <c r="B152" s="16" t="s">
        <v>132</v>
      </c>
      <c r="C152" s="21" t="s">
        <v>41</v>
      </c>
      <c r="D152" s="22">
        <f>((4.25+8.25)/2*2.11*3.6)-25.22</f>
        <v>22.255000000000003</v>
      </c>
      <c r="E152" s="11"/>
      <c r="F152" s="11"/>
      <c r="G152" s="30"/>
      <c r="H152" s="37"/>
    </row>
    <row r="153" spans="1:8" s="12" customFormat="1" ht="25.5" outlineLevel="1" x14ac:dyDescent="0.25">
      <c r="A153" s="10" t="s">
        <v>264</v>
      </c>
      <c r="B153" s="16" t="s">
        <v>133</v>
      </c>
      <c r="C153" s="21" t="s">
        <v>41</v>
      </c>
      <c r="D153" s="22">
        <f>((4.25+8.25)/2*2*9.86)-37.85</f>
        <v>85.4</v>
      </c>
      <c r="E153" s="11"/>
      <c r="F153" s="11"/>
      <c r="G153" s="30"/>
      <c r="H153" s="37"/>
    </row>
    <row r="154" spans="1:8" x14ac:dyDescent="0.25">
      <c r="A154" s="58" t="s">
        <v>13</v>
      </c>
      <c r="B154" s="58"/>
      <c r="C154" s="58"/>
      <c r="D154" s="58"/>
      <c r="E154" s="58"/>
      <c r="F154" s="5">
        <f>SUM(F8:F153)</f>
        <v>0</v>
      </c>
      <c r="G154" s="32"/>
    </row>
    <row r="155" spans="1:8" x14ac:dyDescent="0.25">
      <c r="A155" s="54" t="s">
        <v>14</v>
      </c>
      <c r="B155" s="54"/>
      <c r="C155" s="54"/>
      <c r="D155" s="54"/>
      <c r="E155" s="54"/>
      <c r="F155" s="5">
        <f>F154*0.2</f>
        <v>0</v>
      </c>
      <c r="G155" s="33"/>
    </row>
    <row r="156" spans="1:8" x14ac:dyDescent="0.25">
      <c r="A156" s="54" t="s">
        <v>15</v>
      </c>
      <c r="B156" s="54"/>
      <c r="C156" s="54"/>
      <c r="D156" s="54"/>
      <c r="E156" s="54" t="s">
        <v>16</v>
      </c>
      <c r="F156" s="5">
        <f>F155+F154</f>
        <v>0</v>
      </c>
      <c r="G156" s="33"/>
    </row>
    <row r="159" spans="1:8" ht="105" customHeight="1" x14ac:dyDescent="0.25">
      <c r="B159" s="6" t="s">
        <v>17</v>
      </c>
      <c r="F159" s="48" t="s">
        <v>18</v>
      </c>
      <c r="G159" s="48"/>
      <c r="H159" s="39"/>
    </row>
    <row r="161" spans="2:6" ht="102.75" customHeight="1" x14ac:dyDescent="0.25">
      <c r="B161" s="8"/>
      <c r="F161" s="9"/>
    </row>
  </sheetData>
  <mergeCells count="9">
    <mergeCell ref="A156:E156"/>
    <mergeCell ref="F159:G159"/>
    <mergeCell ref="A8:G8"/>
    <mergeCell ref="A1:G1"/>
    <mergeCell ref="A2:G2"/>
    <mergeCell ref="A3:G3"/>
    <mergeCell ref="A4:G4"/>
    <mergeCell ref="A154:E154"/>
    <mergeCell ref="A155:E155"/>
  </mergeCells>
  <phoneticPr fontId="9" type="noConversion"/>
  <pageMargins left="0.39370078740157477" right="0.39370078740157477" top="0.78740157480314954" bottom="0.39370078740157477" header="0.31496062992125984" footer="0.31496062992125984"/>
  <pageSetup paperSize="9" scale="4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</vt:lpstr>
      <vt:lpstr>Смета подробная</vt:lpstr>
      <vt:lpstr>Смета!Область_печати</vt:lpstr>
      <vt:lpstr>'Смета подробная'!Область_печати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Стойлова Алёна Андреевна</cp:lastModifiedBy>
  <cp:revision>1</cp:revision>
  <dcterms:created xsi:type="dcterms:W3CDTF">2015-06-05T18:19:34Z</dcterms:created>
  <dcterms:modified xsi:type="dcterms:W3CDTF">2025-08-18T03:03:53Z</dcterms:modified>
</cp:coreProperties>
</file>